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75" windowHeight="11760" activeTab="0"/>
  </bookViews>
  <sheets>
    <sheet name="Sheet1" sheetId="1" r:id="rId1"/>
  </sheets>
  <definedNames>
    <definedName name="_xlnm.Print_Area" localSheetId="0">'Sheet1'!$A$57:$O$114</definedName>
  </definedNames>
  <calcPr fullCalcOnLoad="1"/>
</workbook>
</file>

<file path=xl/sharedStrings.xml><?xml version="1.0" encoding="utf-8"?>
<sst xmlns="http://schemas.openxmlformats.org/spreadsheetml/2006/main" count="122" uniqueCount="65">
  <si>
    <t>北九州市</t>
  </si>
  <si>
    <t>福岡市</t>
  </si>
  <si>
    <t>その他の市</t>
  </si>
  <si>
    <t>総計</t>
  </si>
  <si>
    <t>地域</t>
  </si>
  <si>
    <t>単位：％</t>
  </si>
  <si>
    <t>単位：人</t>
  </si>
  <si>
    <t>2010-2000</t>
  </si>
  <si>
    <t>2010-2000</t>
  </si>
  <si>
    <t>久留米市</t>
  </si>
  <si>
    <t>大牟田市</t>
  </si>
  <si>
    <t>直方市</t>
  </si>
  <si>
    <t>田川市</t>
  </si>
  <si>
    <t>飯塚市</t>
  </si>
  <si>
    <t>山田市（嘉麻市）</t>
  </si>
  <si>
    <t>中間市</t>
  </si>
  <si>
    <t>県福祉事務所（郡部）</t>
  </si>
  <si>
    <t>-</t>
  </si>
  <si>
    <t>　　　福岡</t>
  </si>
  <si>
    <t>　　　北九州</t>
  </si>
  <si>
    <t>　　　筑後</t>
  </si>
  <si>
    <t>京筑</t>
  </si>
  <si>
    <t>宗像・遠賀、嘉穂・鞍手、田川</t>
  </si>
  <si>
    <t>筑紫、粕屋</t>
  </si>
  <si>
    <t>北筑後、南筑後</t>
  </si>
  <si>
    <t>県福祉事務所の地区区分</t>
  </si>
  <si>
    <t xml:space="preserve">  　　筑豊</t>
  </si>
  <si>
    <t>原資料：福岡県統計年鑑各年度版</t>
  </si>
  <si>
    <t>他の市</t>
  </si>
  <si>
    <t>筑豊地区の割合％</t>
  </si>
  <si>
    <t>遠賀、鞍手、嘉穂、田川</t>
  </si>
  <si>
    <t>福岡、北筑前</t>
  </si>
  <si>
    <t>筑紫、粕屋、朝倉、糸島</t>
  </si>
  <si>
    <t>両筑、三井、南筑後、八女</t>
  </si>
  <si>
    <t>久留米、八女、山門</t>
  </si>
  <si>
    <t>表の作成方法：地域の４区分については、市町村の範囲や合併・市への昇格等による市町村名変化にかかわらず、各年度ごとに把握・区分している。</t>
  </si>
  <si>
    <t>宮若市</t>
  </si>
  <si>
    <t>-</t>
  </si>
  <si>
    <t>表の作成方法：地域の区分については、市町村の範囲や合併・市への昇格等による市町村名変化にかかわらず、各年度ごとに把握している。</t>
  </si>
  <si>
    <t>1960（*3）</t>
  </si>
  <si>
    <r>
      <t>1955</t>
    </r>
    <r>
      <rPr>
        <sz val="9"/>
        <rFont val="ＭＳ Ｐゴシック"/>
        <family val="3"/>
      </rPr>
      <t>（＊2）</t>
    </r>
  </si>
  <si>
    <t>北九州市(＊1)</t>
  </si>
  <si>
    <t>＊1：1960年は門司市・小倉市・八幡市・戸畑市・若松市の計</t>
  </si>
  <si>
    <t>集計誤差</t>
  </si>
  <si>
    <t>福岡県地域別被保護実人員（各年度１ヶ月平均）</t>
  </si>
  <si>
    <t>＊3：保護人員総数（生活扶助、住宅扶助などの延べ件数267,713）を実人員（138,490）に圧縮した数値としている（各地区の圧縮率均等とみなした計算）。</t>
  </si>
  <si>
    <t>福岡県地域別被保護実人員の構成比</t>
  </si>
  <si>
    <t xml:space="preserve">  圧縮率</t>
  </si>
  <si>
    <t>2000-1963</t>
  </si>
  <si>
    <t xml:space="preserve">  　　筑豊（郡部）</t>
  </si>
  <si>
    <t>　　　福岡（郡部）</t>
  </si>
  <si>
    <t>　　　北九州（郡部）</t>
  </si>
  <si>
    <t>　　　筑後（郡部）</t>
  </si>
  <si>
    <t>郡部（県福祉事務所）</t>
  </si>
  <si>
    <t>実人員ピーク</t>
  </si>
  <si>
    <t>筑豊地区+大牟田市％</t>
  </si>
  <si>
    <t>＊2：1955年12月データ</t>
  </si>
  <si>
    <t>原数値</t>
  </si>
  <si>
    <t>圧縮数値</t>
  </si>
  <si>
    <t>2000/1963  (%)</t>
  </si>
  <si>
    <t>1963年度以降</t>
  </si>
  <si>
    <t>実人員最低値は</t>
  </si>
  <si>
    <t>1998年度76,774人</t>
  </si>
  <si>
    <t>筑豊地区</t>
  </si>
  <si>
    <t>2012-2000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</si>
</sst>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△ &quot;#,##0"/>
    <numFmt numFmtId="179" formatCode="#,##0.0_ "/>
    <numFmt numFmtId="180" formatCode="#,##0.0;&quot;△ &quot;#,##0.0"/>
    <numFmt numFmtId="181" formatCode="#,##0_);[Red]\(#,##0\)"/>
    <numFmt numFmtId="182" formatCode="0_);[Red]\(0\)"/>
    <numFmt numFmtId="183" formatCode="0.0;&quot;△ &quot;0.0"/>
    <numFmt numFmtId="184" formatCode="#,##0.0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5.5"/>
      <color indexed="8"/>
      <name val="ＭＳ Ｐゴシック"/>
      <family val="3"/>
    </font>
    <font>
      <sz val="16"/>
      <color indexed="8"/>
      <name val="ＭＳ Ｐゴシック"/>
      <family val="3"/>
    </font>
    <font>
      <sz val="14.25"/>
      <color indexed="8"/>
      <name val="ＭＳ Ｐゴシック"/>
      <family val="3"/>
    </font>
    <font>
      <sz val="10.75"/>
      <color indexed="8"/>
      <name val="ＭＳ Ｐゴシック"/>
      <family val="3"/>
    </font>
    <font>
      <sz val="9.85"/>
      <color indexed="8"/>
      <name val="ＭＳ Ｐゴシック"/>
      <family val="3"/>
    </font>
    <font>
      <sz val="12"/>
      <color indexed="8"/>
      <name val="ＭＳ Ｐゴシック"/>
      <family val="3"/>
    </font>
    <font>
      <sz val="11.5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9" fontId="0" fillId="0" borderId="15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1" fontId="0" fillId="0" borderId="0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179" fontId="0" fillId="0" borderId="26" xfId="0" applyNumberFormat="1" applyBorder="1" applyAlignment="1">
      <alignment vertical="center"/>
    </xf>
    <xf numFmtId="183" fontId="0" fillId="0" borderId="15" xfId="0" applyNumberFormat="1" applyBorder="1" applyAlignment="1">
      <alignment vertical="center"/>
    </xf>
    <xf numFmtId="183" fontId="0" fillId="0" borderId="14" xfId="0" applyNumberFormat="1" applyBorder="1" applyAlignment="1">
      <alignment vertical="center"/>
    </xf>
    <xf numFmtId="183" fontId="0" fillId="0" borderId="18" xfId="0" applyNumberFormat="1" applyBorder="1" applyAlignment="1">
      <alignment vertical="center"/>
    </xf>
    <xf numFmtId="183" fontId="0" fillId="0" borderId="22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1" fontId="0" fillId="0" borderId="16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top" wrapText="1"/>
    </xf>
    <xf numFmtId="178" fontId="0" fillId="0" borderId="24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2" fillId="0" borderId="22" xfId="0" applyNumberFormat="1" applyFont="1" applyBorder="1" applyAlignment="1">
      <alignment vertical="center" wrapText="1"/>
    </xf>
    <xf numFmtId="176" fontId="0" fillId="0" borderId="14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81" fontId="0" fillId="0" borderId="24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83" fontId="0" fillId="0" borderId="26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0" fontId="0" fillId="0" borderId="18" xfId="0" applyBorder="1" applyAlignment="1">
      <alignment vertical="center" shrinkToFit="1"/>
    </xf>
    <xf numFmtId="184" fontId="2" fillId="0" borderId="27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福岡県内地域別被保護実人員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87"/>
          <c:w val="0.5965"/>
          <c:h val="0.9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Sheet1!$A$5</c:f>
              <c:strCache>
                <c:ptCount val="1"/>
                <c:pt idx="0">
                  <c:v>北九州市(＊1)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Sheet1!$B$4:$K$4</c:f>
              <c:strCache/>
            </c:strRef>
          </c:cat>
          <c:val>
            <c:numRef>
              <c:f>Sheet1!$B$5:$K$5</c:f>
              <c:numCache/>
            </c:numRef>
          </c:val>
        </c:ser>
        <c:ser>
          <c:idx val="2"/>
          <c:order val="1"/>
          <c:tx>
            <c:strRef>
              <c:f>Sheet1!$A$6</c:f>
              <c:strCache>
                <c:ptCount val="1"/>
                <c:pt idx="0">
                  <c:v>福岡市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Sheet1!$B$4:$K$4</c:f>
              <c:strCache/>
            </c:strRef>
          </c:cat>
          <c:val>
            <c:numRef>
              <c:f>Sheet1!$B$6:$K$6</c:f>
              <c:numCache/>
            </c:numRef>
          </c:val>
        </c:ser>
        <c:ser>
          <c:idx val="3"/>
          <c:order val="2"/>
          <c:tx>
            <c:strRef>
              <c:f>Sheet1!$A$7</c:f>
              <c:strCache>
                <c:ptCount val="1"/>
                <c:pt idx="0">
                  <c:v>その他の市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Sheet1!$B$4:$K$4</c:f>
              <c:strCache/>
            </c:strRef>
          </c:cat>
          <c:val>
            <c:numRef>
              <c:f>Sheet1!$B$7:$K$7</c:f>
              <c:numCache/>
            </c:numRef>
          </c:val>
        </c:ser>
        <c:ser>
          <c:idx val="4"/>
          <c:order val="3"/>
          <c:tx>
            <c:strRef>
              <c:f>Sheet1!$A$8</c:f>
              <c:strCache>
                <c:ptCount val="1"/>
                <c:pt idx="0">
                  <c:v>郡部（県福祉事務所）</c:v>
                </c:pt>
              </c:strCache>
            </c:strRef>
          </c:tx>
          <c:spPr>
            <a:pattFill prst="pct5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Sheet1!$B$4:$K$4</c:f>
              <c:strCache/>
            </c:strRef>
          </c:cat>
          <c:val>
            <c:numRef>
              <c:f>Sheet1!$B$8:$K$8</c:f>
              <c:numCache/>
            </c:numRef>
          </c:val>
        </c:ser>
        <c:overlap val="100"/>
        <c:axId val="28543430"/>
        <c:axId val="55564279"/>
      </c:barChart>
      <c:catAx>
        <c:axId val="28543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8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64279"/>
        <c:crosses val="autoZero"/>
        <c:auto val="1"/>
        <c:lblOffset val="100"/>
        <c:tickLblSkip val="2"/>
        <c:noMultiLvlLbl val="0"/>
      </c:catAx>
      <c:valAx>
        <c:axId val="5556427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43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75"/>
          <c:y val="0.2465"/>
          <c:w val="0.33225"/>
          <c:h val="0.2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福岡県地域別被保護人員構成比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145"/>
          <c:w val="0.673"/>
          <c:h val="0.809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Sheet1!$A$33</c:f>
              <c:strCache>
                <c:ptCount val="1"/>
                <c:pt idx="0">
                  <c:v>北九州市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Sheet1!$B$32:$K$32</c:f>
              <c:numCache/>
            </c:numRef>
          </c:cat>
          <c:val>
            <c:numRef>
              <c:f>Sheet1!$B$33:$K$33</c:f>
              <c:numCache/>
            </c:numRef>
          </c:val>
        </c:ser>
        <c:ser>
          <c:idx val="2"/>
          <c:order val="1"/>
          <c:tx>
            <c:strRef>
              <c:f>Sheet1!$A$34</c:f>
              <c:strCache>
                <c:ptCount val="1"/>
                <c:pt idx="0">
                  <c:v>福岡市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Sheet1!$B$32:$K$32</c:f>
              <c:numCache/>
            </c:numRef>
          </c:cat>
          <c:val>
            <c:numRef>
              <c:f>Sheet1!$B$34:$K$34</c:f>
              <c:numCache/>
            </c:numRef>
          </c:val>
        </c:ser>
        <c:ser>
          <c:idx val="3"/>
          <c:order val="2"/>
          <c:tx>
            <c:strRef>
              <c:f>Sheet1!$A$35</c:f>
              <c:strCache>
                <c:ptCount val="1"/>
                <c:pt idx="0">
                  <c:v>その他の市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Sheet1!$B$32:$K$32</c:f>
              <c:numCache/>
            </c:numRef>
          </c:cat>
          <c:val>
            <c:numRef>
              <c:f>Sheet1!$B$35:$K$35</c:f>
              <c:numCache/>
            </c:numRef>
          </c:val>
        </c:ser>
        <c:ser>
          <c:idx val="4"/>
          <c:order val="3"/>
          <c:tx>
            <c:strRef>
              <c:f>Sheet1!$A$36</c:f>
              <c:strCache>
                <c:ptCount val="1"/>
                <c:pt idx="0">
                  <c:v>郡部（県福祉事務所）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Sheet1!$B$32:$K$32</c:f>
              <c:numCache/>
            </c:numRef>
          </c:cat>
          <c:val>
            <c:numRef>
              <c:f>Sheet1!$B$36:$K$36</c:f>
              <c:numCache/>
            </c:numRef>
          </c:val>
        </c:ser>
        <c:overlap val="100"/>
        <c:axId val="30316464"/>
        <c:axId val="4412721"/>
      </c:barChart>
      <c:catAx>
        <c:axId val="3031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2721"/>
        <c:crosses val="autoZero"/>
        <c:auto val="1"/>
        <c:lblOffset val="100"/>
        <c:tickLblSkip val="1"/>
        <c:noMultiLvlLbl val="0"/>
      </c:catAx>
      <c:valAx>
        <c:axId val="44127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16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75"/>
          <c:y val="0.40575"/>
          <c:w val="0.250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福岡県内被保護実人員に占める筑豊及び大牟田市の構成比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425"/>
          <c:w val="0.868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Sheet1!$A$105</c:f>
              <c:strCache>
                <c:ptCount val="1"/>
                <c:pt idx="0">
                  <c:v>筑豊地区の割合％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Sheet1!$B$86:$K$86</c:f>
              <c:numCache/>
            </c:numRef>
          </c:cat>
          <c:val>
            <c:numRef>
              <c:f>Sheet1!$B$105:$K$105</c:f>
              <c:numCache/>
            </c:numRef>
          </c:val>
        </c:ser>
        <c:ser>
          <c:idx val="1"/>
          <c:order val="1"/>
          <c:tx>
            <c:strRef>
              <c:f>Sheet1!$A$106</c:f>
              <c:strCache>
                <c:ptCount val="1"/>
                <c:pt idx="0">
                  <c:v>筑豊地区+大牟田市％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Sheet1!$B$86:$K$86</c:f>
              <c:numCache/>
            </c:numRef>
          </c:cat>
          <c:val>
            <c:numRef>
              <c:f>Sheet1!$B$106:$K$106</c:f>
              <c:numCache/>
            </c:numRef>
          </c:val>
        </c:ser>
        <c:axId val="39714490"/>
        <c:axId val="21886091"/>
      </c:barChart>
      <c:catAx>
        <c:axId val="39714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暦年</a:t>
                </a:r>
              </a:p>
            </c:rich>
          </c:tx>
          <c:layout>
            <c:manualLayout>
              <c:xMode val="factor"/>
              <c:yMode val="factor"/>
              <c:x val="-0.04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86091"/>
        <c:crosses val="autoZero"/>
        <c:auto val="1"/>
        <c:lblOffset val="100"/>
        <c:tickLblSkip val="1"/>
        <c:noMultiLvlLbl val="0"/>
      </c:catAx>
      <c:valAx>
        <c:axId val="2188609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144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2"/>
          <c:y val="0.94675"/>
          <c:w val="0.624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209550</xdr:colOff>
      <xdr:row>3</xdr:row>
      <xdr:rowOff>0</xdr:rowOff>
    </xdr:from>
    <xdr:to>
      <xdr:col>24</xdr:col>
      <xdr:colOff>514350</xdr:colOff>
      <xdr:row>31</xdr:row>
      <xdr:rowOff>19050</xdr:rowOff>
    </xdr:to>
    <xdr:graphicFrame>
      <xdr:nvGraphicFramePr>
        <xdr:cNvPr id="1" name="グラフ 2"/>
        <xdr:cNvGraphicFramePr/>
      </xdr:nvGraphicFramePr>
      <xdr:xfrm>
        <a:off x="11677650" y="514350"/>
        <a:ext cx="64770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219075</xdr:colOff>
      <xdr:row>32</xdr:row>
      <xdr:rowOff>142875</xdr:rowOff>
    </xdr:from>
    <xdr:to>
      <xdr:col>23</xdr:col>
      <xdr:colOff>447675</xdr:colOff>
      <xdr:row>56</xdr:row>
      <xdr:rowOff>104775</xdr:rowOff>
    </xdr:to>
    <xdr:graphicFrame>
      <xdr:nvGraphicFramePr>
        <xdr:cNvPr id="2" name="グラフ 3"/>
        <xdr:cNvGraphicFramePr/>
      </xdr:nvGraphicFramePr>
      <xdr:xfrm>
        <a:off x="11687175" y="5800725"/>
        <a:ext cx="57150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552450</xdr:colOff>
      <xdr:row>84</xdr:row>
      <xdr:rowOff>19050</xdr:rowOff>
    </xdr:from>
    <xdr:to>
      <xdr:col>23</xdr:col>
      <xdr:colOff>142875</xdr:colOff>
      <xdr:row>110</xdr:row>
      <xdr:rowOff>114300</xdr:rowOff>
    </xdr:to>
    <xdr:graphicFrame>
      <xdr:nvGraphicFramePr>
        <xdr:cNvPr id="3" name="グラフ 4"/>
        <xdr:cNvGraphicFramePr/>
      </xdr:nvGraphicFramePr>
      <xdr:xfrm>
        <a:off x="12020550" y="14792325"/>
        <a:ext cx="5076825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22"/>
  <sheetViews>
    <sheetView tabSelected="1" zoomScalePageLayoutView="0" workbookViewId="0" topLeftCell="A1">
      <selection activeCell="K17" sqref="K17"/>
    </sheetView>
  </sheetViews>
  <sheetFormatPr defaultColWidth="9.00390625" defaultRowHeight="13.5"/>
  <cols>
    <col min="1" max="1" width="18.75390625" style="0" customWidth="1"/>
    <col min="2" max="2" width="10.625" style="0" customWidth="1"/>
    <col min="3" max="4" width="9.125" style="0" customWidth="1"/>
    <col min="12" max="13" width="10.25390625" style="0" customWidth="1"/>
    <col min="14" max="14" width="10.375" style="0" customWidth="1"/>
  </cols>
  <sheetData>
    <row r="2" spans="5:12" ht="13.5">
      <c r="E2" t="s">
        <v>44</v>
      </c>
      <c r="L2" t="s">
        <v>27</v>
      </c>
    </row>
    <row r="3" ht="13.5">
      <c r="J3" t="s">
        <v>6</v>
      </c>
    </row>
    <row r="4" spans="1:15" ht="27">
      <c r="A4" s="5" t="s">
        <v>4</v>
      </c>
      <c r="B4" s="7" t="s">
        <v>40</v>
      </c>
      <c r="C4" s="7" t="s">
        <v>39</v>
      </c>
      <c r="D4" s="7">
        <v>1963</v>
      </c>
      <c r="E4" s="7">
        <v>1970</v>
      </c>
      <c r="F4" s="7">
        <v>1980</v>
      </c>
      <c r="G4" s="7">
        <v>1990</v>
      </c>
      <c r="H4" s="7">
        <v>2000</v>
      </c>
      <c r="I4" s="7">
        <v>2005</v>
      </c>
      <c r="J4" s="26">
        <v>2010</v>
      </c>
      <c r="K4" s="6">
        <v>2012</v>
      </c>
      <c r="L4" s="6" t="s">
        <v>48</v>
      </c>
      <c r="M4" s="49" t="s">
        <v>59</v>
      </c>
      <c r="N4" s="10" t="s">
        <v>7</v>
      </c>
      <c r="O4" s="72" t="s">
        <v>64</v>
      </c>
    </row>
    <row r="5" spans="1:15" ht="13.5">
      <c r="A5" s="1" t="s">
        <v>41</v>
      </c>
      <c r="B5" s="2">
        <f>2289+4498+6229+1567+2706</f>
        <v>17289</v>
      </c>
      <c r="C5" s="2">
        <v>28240</v>
      </c>
      <c r="D5" s="2">
        <v>55597</v>
      </c>
      <c r="E5" s="8">
        <v>47194</v>
      </c>
      <c r="F5" s="8">
        <v>49270</v>
      </c>
      <c r="G5" s="8">
        <v>21845</v>
      </c>
      <c r="H5" s="8">
        <v>12963</v>
      </c>
      <c r="I5" s="8">
        <v>12761</v>
      </c>
      <c r="J5" s="65">
        <v>21845</v>
      </c>
      <c r="K5" s="61">
        <f>+K62</f>
        <v>24223</v>
      </c>
      <c r="L5" s="24">
        <f>+H5-D5</f>
        <v>-42634</v>
      </c>
      <c r="M5" s="50">
        <f>H5/D5*100</f>
        <v>23.31600625933054</v>
      </c>
      <c r="N5" s="14">
        <f>+J5-H5</f>
        <v>8882</v>
      </c>
      <c r="O5" s="69">
        <f>+K5-H5</f>
        <v>11260</v>
      </c>
    </row>
    <row r="6" spans="1:15" ht="13.5">
      <c r="A6" s="1" t="s">
        <v>1</v>
      </c>
      <c r="B6" s="2">
        <v>7019</v>
      </c>
      <c r="C6" s="2">
        <v>11414</v>
      </c>
      <c r="D6" s="2">
        <v>23549</v>
      </c>
      <c r="E6" s="8">
        <v>20410</v>
      </c>
      <c r="F6" s="8">
        <v>28230</v>
      </c>
      <c r="G6" s="8">
        <v>37836</v>
      </c>
      <c r="H6" s="8">
        <v>21174</v>
      </c>
      <c r="I6" s="8">
        <v>26127</v>
      </c>
      <c r="J6" s="65">
        <v>37836</v>
      </c>
      <c r="K6" s="61">
        <f>+K63</f>
        <v>42722</v>
      </c>
      <c r="L6" s="24">
        <f>+H6-D6</f>
        <v>-2375</v>
      </c>
      <c r="M6" s="50">
        <f>H6/D6*100</f>
        <v>89.91464605715743</v>
      </c>
      <c r="N6" s="14">
        <f>+J6-H6</f>
        <v>16662</v>
      </c>
      <c r="O6" s="70">
        <f>+K6-H6</f>
        <v>21548</v>
      </c>
    </row>
    <row r="7" spans="1:15" ht="13.5">
      <c r="A7" s="1" t="s">
        <v>2</v>
      </c>
      <c r="B7" s="2">
        <f aca="true" t="shared" si="0" ref="B7:J7">+B9-B5-B6-B8</f>
        <v>28296</v>
      </c>
      <c r="C7" s="8">
        <v>45525</v>
      </c>
      <c r="D7" s="8">
        <f t="shared" si="0"/>
        <v>72260</v>
      </c>
      <c r="E7" s="8">
        <f t="shared" si="0"/>
        <v>45258</v>
      </c>
      <c r="F7" s="8">
        <f t="shared" si="0"/>
        <v>39101</v>
      </c>
      <c r="G7" s="8">
        <f t="shared" si="0"/>
        <v>39594</v>
      </c>
      <c r="H7" s="8">
        <f t="shared" si="0"/>
        <v>20190</v>
      </c>
      <c r="I7" s="8">
        <f t="shared" si="0"/>
        <v>27236</v>
      </c>
      <c r="J7" s="65">
        <f t="shared" si="0"/>
        <v>39594</v>
      </c>
      <c r="K7" s="61">
        <f>+SUM(K64:K72)</f>
        <v>42070</v>
      </c>
      <c r="L7" s="24">
        <f>+H7-D7</f>
        <v>-52070</v>
      </c>
      <c r="M7" s="50">
        <f>H7/D7*100</f>
        <v>27.940769443675617</v>
      </c>
      <c r="N7" s="14">
        <f>+J7-H7</f>
        <v>19404</v>
      </c>
      <c r="O7" s="70">
        <f>+K7-H7</f>
        <v>21880</v>
      </c>
    </row>
    <row r="8" spans="1:15" ht="13.5">
      <c r="A8" s="39" t="s">
        <v>53</v>
      </c>
      <c r="B8" s="2">
        <v>35193</v>
      </c>
      <c r="C8" s="2">
        <v>53312</v>
      </c>
      <c r="D8" s="2">
        <v>96202</v>
      </c>
      <c r="E8" s="8">
        <v>77042</v>
      </c>
      <c r="F8" s="8">
        <v>63260</v>
      </c>
      <c r="G8" s="8">
        <v>22849</v>
      </c>
      <c r="H8" s="8">
        <v>25342</v>
      </c>
      <c r="I8" s="8">
        <v>26471</v>
      </c>
      <c r="J8" s="65">
        <v>22849</v>
      </c>
      <c r="K8" s="61">
        <f>+K73</f>
        <v>23252</v>
      </c>
      <c r="L8" s="24">
        <f>+H8-D8</f>
        <v>-70860</v>
      </c>
      <c r="M8" s="50">
        <f>H8/D8*100</f>
        <v>26.34248768216877</v>
      </c>
      <c r="N8" s="14">
        <f>+J8-H8</f>
        <v>-2493</v>
      </c>
      <c r="O8" s="14">
        <f>+K8-H8</f>
        <v>-2090</v>
      </c>
    </row>
    <row r="9" spans="1:15" ht="13.5">
      <c r="A9" s="3" t="s">
        <v>3</v>
      </c>
      <c r="B9" s="4">
        <v>87797</v>
      </c>
      <c r="C9" s="4">
        <v>138490</v>
      </c>
      <c r="D9" s="4">
        <v>247608</v>
      </c>
      <c r="E9" s="9">
        <v>189904</v>
      </c>
      <c r="F9" s="9">
        <v>179861</v>
      </c>
      <c r="G9" s="9">
        <v>122124</v>
      </c>
      <c r="H9" s="9">
        <v>79669</v>
      </c>
      <c r="I9" s="9">
        <v>92595</v>
      </c>
      <c r="J9" s="66">
        <v>122124</v>
      </c>
      <c r="K9" s="62">
        <f>+K78</f>
        <v>132266</v>
      </c>
      <c r="L9" s="25">
        <f>+H9-D9</f>
        <v>-167939</v>
      </c>
      <c r="M9" s="51">
        <f>H9/D9*100</f>
        <v>32.175454751058126</v>
      </c>
      <c r="N9" s="15">
        <f>+J9-H9</f>
        <v>42455</v>
      </c>
      <c r="O9" s="71">
        <f>+K9-H9</f>
        <v>52597</v>
      </c>
    </row>
    <row r="10" spans="1:13" ht="13.5">
      <c r="A10" s="12"/>
      <c r="B10" s="12"/>
      <c r="C10" s="12"/>
      <c r="D10" s="40" t="s">
        <v>54</v>
      </c>
      <c r="E10" s="2"/>
      <c r="F10" s="2"/>
      <c r="G10" s="2"/>
      <c r="H10" s="57" t="s">
        <v>60</v>
      </c>
      <c r="I10" s="2"/>
      <c r="J10" s="2"/>
      <c r="K10" s="2"/>
      <c r="L10" s="2"/>
      <c r="M10" s="2"/>
    </row>
    <row r="11" spans="1:13" ht="13.5">
      <c r="A11" s="12"/>
      <c r="B11" s="12"/>
      <c r="C11" s="12"/>
      <c r="D11" s="40"/>
      <c r="E11" s="2"/>
      <c r="F11" s="2"/>
      <c r="G11" s="2"/>
      <c r="H11" s="57" t="s">
        <v>61</v>
      </c>
      <c r="I11" s="2"/>
      <c r="J11" s="2"/>
      <c r="K11" s="2"/>
      <c r="L11" s="2"/>
      <c r="M11" s="2"/>
    </row>
    <row r="12" spans="1:13" ht="13.5">
      <c r="A12" s="12"/>
      <c r="B12" s="12"/>
      <c r="C12" s="12"/>
      <c r="D12" s="40"/>
      <c r="E12" s="2"/>
      <c r="F12" s="2"/>
      <c r="G12" s="2"/>
      <c r="H12" s="57" t="s">
        <v>62</v>
      </c>
      <c r="I12" s="2"/>
      <c r="J12" s="2"/>
      <c r="K12" s="2"/>
      <c r="L12" s="2"/>
      <c r="M12" s="2"/>
    </row>
    <row r="13" spans="1:13" ht="13.5">
      <c r="A13" s="12"/>
      <c r="B13" s="12"/>
      <c r="C13" s="12"/>
      <c r="D13" s="40"/>
      <c r="E13" s="2"/>
      <c r="F13" s="2"/>
      <c r="G13" s="2"/>
      <c r="H13" s="2"/>
      <c r="I13" s="2"/>
      <c r="J13" s="2"/>
      <c r="K13" s="2"/>
      <c r="L13" s="2"/>
      <c r="M13" s="2"/>
    </row>
    <row r="14" spans="1:13" ht="13.5">
      <c r="A14" s="36" t="s">
        <v>35</v>
      </c>
      <c r="B14" s="12"/>
      <c r="C14" s="12"/>
      <c r="D14" s="12"/>
      <c r="E14" s="2"/>
      <c r="F14" s="2"/>
      <c r="G14" s="2"/>
      <c r="H14" s="2"/>
      <c r="I14" s="2"/>
      <c r="J14" s="2"/>
      <c r="K14" s="2"/>
      <c r="L14" s="2"/>
      <c r="M14" s="2"/>
    </row>
    <row r="15" spans="1:13" ht="13.5">
      <c r="A15" s="36" t="s">
        <v>42</v>
      </c>
      <c r="B15" s="13"/>
      <c r="C15" s="12"/>
      <c r="D15" s="12"/>
      <c r="E15" s="2"/>
      <c r="F15" s="2"/>
      <c r="G15" s="2"/>
      <c r="H15" s="2"/>
      <c r="I15" s="2"/>
      <c r="J15" s="2"/>
      <c r="K15" s="2"/>
      <c r="L15" s="2"/>
      <c r="M15" s="2"/>
    </row>
    <row r="16" spans="1:13" ht="13.5">
      <c r="A16" s="36" t="s">
        <v>56</v>
      </c>
      <c r="B16" s="13"/>
      <c r="C16" s="13"/>
      <c r="D16" s="13"/>
      <c r="E16" s="2"/>
      <c r="F16" s="2"/>
      <c r="G16" s="2"/>
      <c r="H16" s="2"/>
      <c r="I16" s="2"/>
      <c r="J16" s="2"/>
      <c r="K16" s="2"/>
      <c r="L16" s="2"/>
      <c r="M16" s="2"/>
    </row>
    <row r="17" spans="1:13" ht="13.5">
      <c r="A17" s="36" t="s">
        <v>45</v>
      </c>
      <c r="B17" s="12"/>
      <c r="C17" s="12"/>
      <c r="D17" s="12"/>
      <c r="E17" s="2"/>
      <c r="F17" s="2"/>
      <c r="G17" s="2"/>
      <c r="H17" s="2"/>
      <c r="I17" s="2"/>
      <c r="J17" s="2"/>
      <c r="K17" s="2"/>
      <c r="L17" s="2"/>
      <c r="M17" s="2"/>
    </row>
    <row r="18" spans="1:13" ht="13.5">
      <c r="A18" s="12"/>
      <c r="B18" s="47" t="s">
        <v>57</v>
      </c>
      <c r="C18" s="48" t="s">
        <v>58</v>
      </c>
      <c r="D18" s="48" t="s">
        <v>47</v>
      </c>
      <c r="G18" s="2"/>
      <c r="H18" s="2"/>
      <c r="I18" s="2"/>
      <c r="J18" s="2"/>
      <c r="K18" s="2"/>
      <c r="L18" s="2"/>
      <c r="M18" s="2"/>
    </row>
    <row r="19" spans="1:13" ht="13.5">
      <c r="A19" s="41" t="s">
        <v>41</v>
      </c>
      <c r="B19" s="42">
        <v>54590</v>
      </c>
      <c r="C19" s="42">
        <f>+B19*$D$19</f>
        <v>28239.828099494607</v>
      </c>
      <c r="D19" s="73">
        <f>138490/267713</f>
        <v>0.5173077138577507</v>
      </c>
      <c r="G19" s="2"/>
      <c r="H19" s="2"/>
      <c r="I19" s="2"/>
      <c r="J19" s="2"/>
      <c r="K19" s="2"/>
      <c r="L19" s="2"/>
      <c r="M19" s="2"/>
    </row>
    <row r="20" spans="1:13" ht="13.5">
      <c r="A20" s="43" t="s">
        <v>1</v>
      </c>
      <c r="B20" s="44">
        <v>22064</v>
      </c>
      <c r="C20" s="44">
        <f>+B20*$D$19</f>
        <v>11413.87739855741</v>
      </c>
      <c r="D20" s="74"/>
      <c r="G20" s="2"/>
      <c r="H20" s="2"/>
      <c r="I20" s="2"/>
      <c r="J20" s="2"/>
      <c r="K20" s="2"/>
      <c r="L20" s="2"/>
      <c r="M20" s="2"/>
    </row>
    <row r="21" spans="1:13" ht="13.5">
      <c r="A21" s="43" t="s">
        <v>2</v>
      </c>
      <c r="B21" s="44">
        <v>88003</v>
      </c>
      <c r="C21" s="44">
        <f>+B21*$D$19</f>
        <v>45524.63074262363</v>
      </c>
      <c r="D21" s="74"/>
      <c r="G21" s="2"/>
      <c r="H21" s="2"/>
      <c r="I21" s="2"/>
      <c r="J21" s="2"/>
      <c r="K21" s="2"/>
      <c r="L21" s="2"/>
      <c r="M21" s="2"/>
    </row>
    <row r="22" spans="1:13" ht="13.5">
      <c r="A22" s="43" t="s">
        <v>53</v>
      </c>
      <c r="B22" s="44">
        <v>103056</v>
      </c>
      <c r="C22" s="44">
        <f>+B22*$D$19</f>
        <v>53311.66375932435</v>
      </c>
      <c r="D22" s="74"/>
      <c r="G22" s="2"/>
      <c r="H22" s="2"/>
      <c r="I22" s="2"/>
      <c r="J22" s="2"/>
      <c r="K22" s="2"/>
      <c r="L22" s="2"/>
      <c r="M22" s="2"/>
    </row>
    <row r="23" spans="1:13" ht="13.5">
      <c r="A23" s="45" t="s">
        <v>3</v>
      </c>
      <c r="B23" s="46">
        <v>267713</v>
      </c>
      <c r="C23" s="46">
        <v>138490</v>
      </c>
      <c r="D23" s="75"/>
      <c r="G23" s="2"/>
      <c r="H23" s="2"/>
      <c r="I23" s="2"/>
      <c r="J23" s="2"/>
      <c r="K23" s="2"/>
      <c r="L23" s="2"/>
      <c r="M23" s="2"/>
    </row>
    <row r="24" spans="1:13" ht="13.5">
      <c r="A24" s="12"/>
      <c r="B24" s="12"/>
      <c r="C24" s="12"/>
      <c r="D24" s="12"/>
      <c r="E24" s="2"/>
      <c r="F24" s="2"/>
      <c r="G24" s="2"/>
      <c r="H24" s="2"/>
      <c r="I24" s="2"/>
      <c r="J24" s="2"/>
      <c r="K24" s="2"/>
      <c r="L24" s="2"/>
      <c r="M24" s="2"/>
    </row>
    <row r="25" spans="1:13" ht="13.5">
      <c r="A25" s="12"/>
      <c r="B25" s="12"/>
      <c r="C25" s="12"/>
      <c r="D25" s="12"/>
      <c r="E25" s="2"/>
      <c r="F25" s="2"/>
      <c r="G25" s="2"/>
      <c r="H25" s="2"/>
      <c r="I25" s="2"/>
      <c r="J25" s="2"/>
      <c r="K25" s="2"/>
      <c r="L25" s="2"/>
      <c r="M25" s="2"/>
    </row>
    <row r="26" spans="1:13" ht="13.5">
      <c r="A26" s="12"/>
      <c r="B26" s="12"/>
      <c r="C26" s="12"/>
      <c r="D26" s="12"/>
      <c r="E26" s="2"/>
      <c r="F26" s="2"/>
      <c r="G26" s="2"/>
      <c r="H26" s="2"/>
      <c r="I26" s="2"/>
      <c r="J26" s="2"/>
      <c r="K26" s="2"/>
      <c r="L26" s="2"/>
      <c r="M26" s="2"/>
    </row>
    <row r="27" spans="1:13" ht="13.5">
      <c r="A27" s="12"/>
      <c r="B27" s="12"/>
      <c r="C27" s="12"/>
      <c r="D27" s="12"/>
      <c r="E27" s="2"/>
      <c r="F27" s="2"/>
      <c r="G27" s="2"/>
      <c r="H27" s="2"/>
      <c r="I27" s="2"/>
      <c r="J27" s="2"/>
      <c r="K27" s="2"/>
      <c r="L27" s="2"/>
      <c r="M27" s="2"/>
    </row>
    <row r="28" spans="1:13" ht="13.5">
      <c r="A28" s="12"/>
      <c r="B28" s="12"/>
      <c r="C28" s="12"/>
      <c r="D28" s="12"/>
      <c r="E28" s="2"/>
      <c r="F28" s="2"/>
      <c r="G28" s="2"/>
      <c r="H28" s="2"/>
      <c r="I28" s="2"/>
      <c r="J28" s="2"/>
      <c r="K28" s="2"/>
      <c r="L28" s="2"/>
      <c r="M28" s="2"/>
    </row>
    <row r="30" ht="13.5">
      <c r="E30" t="s">
        <v>46</v>
      </c>
    </row>
    <row r="31" ht="13.5">
      <c r="J31" t="s">
        <v>5</v>
      </c>
    </row>
    <row r="32" spans="1:15" ht="13.5">
      <c r="A32" s="5" t="s">
        <v>4</v>
      </c>
      <c r="B32" s="7">
        <v>1955</v>
      </c>
      <c r="C32" s="7">
        <v>1960</v>
      </c>
      <c r="D32" s="7">
        <v>1963</v>
      </c>
      <c r="E32" s="7">
        <v>1970</v>
      </c>
      <c r="F32" s="7">
        <v>1980</v>
      </c>
      <c r="G32" s="7">
        <v>1990</v>
      </c>
      <c r="H32" s="7">
        <v>2000</v>
      </c>
      <c r="I32" s="7">
        <v>2005</v>
      </c>
      <c r="J32" s="26">
        <v>2010</v>
      </c>
      <c r="K32" s="6">
        <v>2012</v>
      </c>
      <c r="L32" s="6" t="s">
        <v>48</v>
      </c>
      <c r="M32" s="6"/>
      <c r="N32" s="10" t="s">
        <v>8</v>
      </c>
      <c r="O32" s="72" t="s">
        <v>64</v>
      </c>
    </row>
    <row r="33" spans="1:15" ht="13.5">
      <c r="A33" s="5" t="s">
        <v>0</v>
      </c>
      <c r="B33" s="31">
        <f>+B5/B$9*100</f>
        <v>19.692016811508367</v>
      </c>
      <c r="C33" s="28">
        <f aca="true" t="shared" si="1" ref="C33:J35">+C5/C$9*100</f>
        <v>20.391363997400536</v>
      </c>
      <c r="D33" s="28">
        <f>+D5/D$9*100</f>
        <v>22.453636393008303</v>
      </c>
      <c r="E33" s="28">
        <f t="shared" si="1"/>
        <v>24.851503917768976</v>
      </c>
      <c r="F33" s="28">
        <f t="shared" si="1"/>
        <v>27.393375995907952</v>
      </c>
      <c r="G33" s="28">
        <f t="shared" si="1"/>
        <v>17.8875569093708</v>
      </c>
      <c r="H33" s="28">
        <f t="shared" si="1"/>
        <v>16.2710715585736</v>
      </c>
      <c r="I33" s="28">
        <f t="shared" si="1"/>
        <v>13.78152168043631</v>
      </c>
      <c r="J33" s="67">
        <f t="shared" si="1"/>
        <v>17.8875569093708</v>
      </c>
      <c r="K33" s="29">
        <f>+K5/K$9*100</f>
        <v>18.313852388368893</v>
      </c>
      <c r="L33" s="29">
        <f>+H33-D33</f>
        <v>-6.182564834434704</v>
      </c>
      <c r="M33" s="29"/>
      <c r="N33" s="30">
        <f>+J33-H33</f>
        <v>1.616485350797202</v>
      </c>
      <c r="O33" s="30">
        <f>+K33-H33</f>
        <v>2.0427808297952943</v>
      </c>
    </row>
    <row r="34" spans="1:15" ht="13.5">
      <c r="A34" s="5" t="s">
        <v>1</v>
      </c>
      <c r="B34" s="31">
        <f>+B6/B$9*100</f>
        <v>7.9945784024511095</v>
      </c>
      <c r="C34" s="31">
        <f t="shared" si="1"/>
        <v>8.241750306881364</v>
      </c>
      <c r="D34" s="31">
        <f>+D6/D$9*100</f>
        <v>9.510597395883815</v>
      </c>
      <c r="E34" s="28">
        <f t="shared" si="1"/>
        <v>10.747535596933186</v>
      </c>
      <c r="F34" s="28">
        <f t="shared" si="1"/>
        <v>15.695453711477198</v>
      </c>
      <c r="G34" s="28">
        <f t="shared" si="1"/>
        <v>30.981625233369364</v>
      </c>
      <c r="H34" s="28">
        <f t="shared" si="1"/>
        <v>26.577464258368998</v>
      </c>
      <c r="I34" s="28">
        <f t="shared" si="1"/>
        <v>28.216426372914306</v>
      </c>
      <c r="J34" s="67">
        <f t="shared" si="1"/>
        <v>30.981625233369364</v>
      </c>
      <c r="K34" s="29">
        <f>+K6/K$9*100</f>
        <v>32.30006199628022</v>
      </c>
      <c r="L34" s="29">
        <f>+H34-D34</f>
        <v>17.066866862485185</v>
      </c>
      <c r="M34" s="29"/>
      <c r="N34" s="30">
        <f>+J34-H34</f>
        <v>4.404160975000366</v>
      </c>
      <c r="O34" s="30">
        <f>+K34-H34</f>
        <v>5.722597737911222</v>
      </c>
    </row>
    <row r="35" spans="1:15" ht="13.5">
      <c r="A35" s="5" t="s">
        <v>2</v>
      </c>
      <c r="B35" s="31">
        <f>+B7/B$9*100</f>
        <v>32.2288916477784</v>
      </c>
      <c r="C35" s="31">
        <f t="shared" si="1"/>
        <v>32.87240956025706</v>
      </c>
      <c r="D35" s="31">
        <f>+D7/D$9*100</f>
        <v>29.18322509773513</v>
      </c>
      <c r="E35" s="28">
        <f t="shared" si="1"/>
        <v>23.83204145252338</v>
      </c>
      <c r="F35" s="28">
        <f t="shared" si="1"/>
        <v>21.73956555339957</v>
      </c>
      <c r="G35" s="28">
        <f t="shared" si="1"/>
        <v>32.42114572074285</v>
      </c>
      <c r="H35" s="28">
        <f t="shared" si="1"/>
        <v>25.342353989632105</v>
      </c>
      <c r="I35" s="28">
        <f t="shared" si="1"/>
        <v>29.41411523300394</v>
      </c>
      <c r="J35" s="67">
        <f t="shared" si="1"/>
        <v>32.42114572074285</v>
      </c>
      <c r="K35" s="29">
        <f>+K7/K$9*100</f>
        <v>31.807115963286105</v>
      </c>
      <c r="L35" s="29">
        <f>+H35-D35</f>
        <v>-3.8408711081030233</v>
      </c>
      <c r="M35" s="29"/>
      <c r="N35" s="30">
        <f>+J35-H35</f>
        <v>7.078791731110744</v>
      </c>
      <c r="O35" s="30">
        <f>+K35-H35</f>
        <v>6.464761973653999</v>
      </c>
    </row>
    <row r="36" spans="1:15" ht="13.5">
      <c r="A36" s="39" t="s">
        <v>53</v>
      </c>
      <c r="B36" s="32">
        <f>+B8/B$9*100</f>
        <v>40.08451313826213</v>
      </c>
      <c r="C36" s="31">
        <f>+C8/C$9*100</f>
        <v>38.49519820925698</v>
      </c>
      <c r="D36" s="31">
        <f>+D8/D$9*100</f>
        <v>38.85254111337275</v>
      </c>
      <c r="E36" s="28">
        <f aca="true" t="shared" si="2" ref="E36:J36">+E8/E$9*100</f>
        <v>40.56891903277445</v>
      </c>
      <c r="F36" s="28">
        <f t="shared" si="2"/>
        <v>35.17160473921528</v>
      </c>
      <c r="G36" s="28">
        <f t="shared" si="2"/>
        <v>18.709672136516982</v>
      </c>
      <c r="H36" s="28">
        <f t="shared" si="2"/>
        <v>31.8091101934253</v>
      </c>
      <c r="I36" s="28">
        <f t="shared" si="2"/>
        <v>28.587936713645444</v>
      </c>
      <c r="J36" s="67">
        <f t="shared" si="2"/>
        <v>18.709672136516982</v>
      </c>
      <c r="K36" s="29">
        <f>+K8/K$9*100</f>
        <v>17.57972570426262</v>
      </c>
      <c r="L36" s="29">
        <f>+H36-D36</f>
        <v>-7.0434309199474505</v>
      </c>
      <c r="M36" s="29"/>
      <c r="N36" s="30">
        <f>+J36-H36</f>
        <v>-13.099438056908319</v>
      </c>
      <c r="O36" s="30">
        <f>+K36-H36</f>
        <v>-14.22938448916268</v>
      </c>
    </row>
    <row r="37" spans="1:15" ht="13.5">
      <c r="A37" s="5" t="s">
        <v>3</v>
      </c>
      <c r="B37" s="31">
        <f>+B9/B$9*100</f>
        <v>100</v>
      </c>
      <c r="C37" s="31">
        <f>+C9/C$9*100</f>
        <v>100</v>
      </c>
      <c r="D37" s="31">
        <f>+D9/D$9*100</f>
        <v>100</v>
      </c>
      <c r="E37" s="28">
        <f aca="true" t="shared" si="3" ref="E37:J37">+E9/E$9*100</f>
        <v>100</v>
      </c>
      <c r="F37" s="28">
        <f t="shared" si="3"/>
        <v>100</v>
      </c>
      <c r="G37" s="28">
        <f t="shared" si="3"/>
        <v>100</v>
      </c>
      <c r="H37" s="28">
        <f t="shared" si="3"/>
        <v>100</v>
      </c>
      <c r="I37" s="28">
        <f t="shared" si="3"/>
        <v>100</v>
      </c>
      <c r="J37" s="67">
        <f t="shared" si="3"/>
        <v>100</v>
      </c>
      <c r="K37" s="29">
        <f>+K9/K$9*100</f>
        <v>100</v>
      </c>
      <c r="L37" s="29">
        <f>+H37-D37</f>
        <v>0</v>
      </c>
      <c r="M37" s="29"/>
      <c r="N37" s="30">
        <f>+J37-H37</f>
        <v>0</v>
      </c>
      <c r="O37" s="30">
        <f>+K37-H37</f>
        <v>0</v>
      </c>
    </row>
    <row r="59" spans="3:10" ht="13.5">
      <c r="C59" t="s">
        <v>44</v>
      </c>
      <c r="J59" t="s">
        <v>27</v>
      </c>
    </row>
    <row r="60" ht="13.5">
      <c r="J60" t="s">
        <v>6</v>
      </c>
    </row>
    <row r="61" spans="1:15" ht="29.25" customHeight="1">
      <c r="A61" s="5" t="s">
        <v>4</v>
      </c>
      <c r="B61" s="7">
        <v>1955</v>
      </c>
      <c r="C61" s="7">
        <v>1960</v>
      </c>
      <c r="D61" s="7">
        <v>1963</v>
      </c>
      <c r="E61" s="7">
        <v>1970</v>
      </c>
      <c r="F61" s="7">
        <v>1980</v>
      </c>
      <c r="G61" s="7">
        <v>1990</v>
      </c>
      <c r="H61" s="7">
        <v>2000</v>
      </c>
      <c r="I61" s="7">
        <v>2005</v>
      </c>
      <c r="J61" s="26">
        <v>2010</v>
      </c>
      <c r="K61" s="6">
        <v>2012</v>
      </c>
      <c r="L61" s="6" t="s">
        <v>48</v>
      </c>
      <c r="M61" s="49" t="s">
        <v>59</v>
      </c>
      <c r="N61" s="10" t="s">
        <v>7</v>
      </c>
      <c r="O61" s="72" t="s">
        <v>64</v>
      </c>
    </row>
    <row r="62" spans="1:15" ht="13.5">
      <c r="A62" s="1" t="s">
        <v>0</v>
      </c>
      <c r="B62" s="19">
        <f aca="true" t="shared" si="4" ref="B62:D63">+B5</f>
        <v>17289</v>
      </c>
      <c r="C62" s="19">
        <f t="shared" si="4"/>
        <v>28240</v>
      </c>
      <c r="D62" s="19">
        <f t="shared" si="4"/>
        <v>55597</v>
      </c>
      <c r="E62" s="8">
        <v>47194</v>
      </c>
      <c r="F62" s="8">
        <v>49270</v>
      </c>
      <c r="G62" s="8">
        <v>21845</v>
      </c>
      <c r="H62" s="8">
        <v>12963</v>
      </c>
      <c r="I62" s="8">
        <v>12761</v>
      </c>
      <c r="J62" s="65">
        <v>21845</v>
      </c>
      <c r="K62" s="61">
        <v>24223</v>
      </c>
      <c r="L62" s="24">
        <f>+H62-D62</f>
        <v>-42634</v>
      </c>
      <c r="M62" s="50">
        <f>H62/D62*100</f>
        <v>23.31600625933054</v>
      </c>
      <c r="N62" s="14">
        <f>+J62-H62</f>
        <v>8882</v>
      </c>
      <c r="O62" s="14">
        <f>+K62-H62</f>
        <v>11260</v>
      </c>
    </row>
    <row r="63" spans="1:15" ht="13.5">
      <c r="A63" s="1" t="s">
        <v>1</v>
      </c>
      <c r="B63" s="19">
        <f t="shared" si="4"/>
        <v>7019</v>
      </c>
      <c r="C63" s="19">
        <f t="shared" si="4"/>
        <v>11414</v>
      </c>
      <c r="D63" s="19">
        <f t="shared" si="4"/>
        <v>23549</v>
      </c>
      <c r="E63" s="8">
        <v>20410</v>
      </c>
      <c r="F63" s="8">
        <v>28230</v>
      </c>
      <c r="G63" s="8">
        <v>37836</v>
      </c>
      <c r="H63" s="8">
        <v>21174</v>
      </c>
      <c r="I63" s="8">
        <v>26127</v>
      </c>
      <c r="J63" s="65">
        <v>37836</v>
      </c>
      <c r="K63" s="61">
        <v>42722</v>
      </c>
      <c r="L63" s="24">
        <f aca="true" t="shared" si="5" ref="L63:L78">+H63-D63</f>
        <v>-2375</v>
      </c>
      <c r="M63" s="50">
        <f aca="true" t="shared" si="6" ref="M63:M78">H63/D63*100</f>
        <v>89.91464605715743</v>
      </c>
      <c r="N63" s="14">
        <f aca="true" t="shared" si="7" ref="N63:N78">+J63-H63</f>
        <v>16662</v>
      </c>
      <c r="O63" s="14">
        <f aca="true" t="shared" si="8" ref="O63:O78">+K63-H63</f>
        <v>21548</v>
      </c>
    </row>
    <row r="64" spans="1:15" ht="13.5">
      <c r="A64" s="1" t="s">
        <v>9</v>
      </c>
      <c r="B64" s="19">
        <v>2280</v>
      </c>
      <c r="C64" s="19">
        <f>6417*D19</f>
        <v>3319.563599825186</v>
      </c>
      <c r="D64" s="19">
        <v>4719</v>
      </c>
      <c r="E64" s="8">
        <v>3885</v>
      </c>
      <c r="F64" s="8">
        <v>5203</v>
      </c>
      <c r="G64" s="8">
        <v>1863</v>
      </c>
      <c r="H64" s="8">
        <v>2063</v>
      </c>
      <c r="I64" s="8">
        <v>3391</v>
      </c>
      <c r="J64" s="65">
        <v>5181</v>
      </c>
      <c r="K64" s="61">
        <v>5983</v>
      </c>
      <c r="L64" s="24">
        <f t="shared" si="5"/>
        <v>-2656</v>
      </c>
      <c r="M64" s="50">
        <f t="shared" si="6"/>
        <v>43.71688917143462</v>
      </c>
      <c r="N64" s="14">
        <f t="shared" si="7"/>
        <v>3118</v>
      </c>
      <c r="O64" s="14">
        <f t="shared" si="8"/>
        <v>3920</v>
      </c>
    </row>
    <row r="65" spans="1:15" ht="13.5">
      <c r="A65" s="1" t="s">
        <v>10</v>
      </c>
      <c r="B65" s="19">
        <v>9447</v>
      </c>
      <c r="C65" s="19">
        <f>38912*D19</f>
        <v>20129.477761632792</v>
      </c>
      <c r="D65" s="19">
        <v>19225</v>
      </c>
      <c r="E65" s="8">
        <v>12104</v>
      </c>
      <c r="F65" s="8">
        <v>7430</v>
      </c>
      <c r="G65" s="8">
        <v>5433</v>
      </c>
      <c r="H65" s="8">
        <v>3583</v>
      </c>
      <c r="I65" s="8">
        <v>4007</v>
      </c>
      <c r="J65" s="65">
        <v>4350</v>
      </c>
      <c r="K65" s="61">
        <v>4519</v>
      </c>
      <c r="L65" s="24">
        <f t="shared" si="5"/>
        <v>-15642</v>
      </c>
      <c r="M65" s="50">
        <f t="shared" si="6"/>
        <v>18.637191157347203</v>
      </c>
      <c r="N65" s="14">
        <f t="shared" si="7"/>
        <v>767</v>
      </c>
      <c r="O65" s="14">
        <f t="shared" si="8"/>
        <v>936</v>
      </c>
    </row>
    <row r="66" spans="1:15" ht="13.5">
      <c r="A66" s="1" t="s">
        <v>11</v>
      </c>
      <c r="B66" s="19">
        <v>3300</v>
      </c>
      <c r="C66" s="19">
        <f>6571*D19</f>
        <v>3399.2289877592793</v>
      </c>
      <c r="D66" s="19">
        <v>7094</v>
      </c>
      <c r="E66" s="8">
        <v>4198</v>
      </c>
      <c r="F66" s="8">
        <v>4292</v>
      </c>
      <c r="G66" s="8">
        <v>2282</v>
      </c>
      <c r="H66" s="8">
        <v>1345</v>
      </c>
      <c r="I66" s="8">
        <v>1435</v>
      </c>
      <c r="J66" s="65">
        <v>1689</v>
      </c>
      <c r="K66" s="61">
        <v>1807</v>
      </c>
      <c r="L66" s="24">
        <f t="shared" si="5"/>
        <v>-5749</v>
      </c>
      <c r="M66" s="50">
        <f t="shared" si="6"/>
        <v>18.95968424020299</v>
      </c>
      <c r="N66" s="14">
        <f t="shared" si="7"/>
        <v>344</v>
      </c>
      <c r="O66" s="14">
        <f t="shared" si="8"/>
        <v>462</v>
      </c>
    </row>
    <row r="67" spans="1:15" ht="13.5">
      <c r="A67" s="1" t="s">
        <v>12</v>
      </c>
      <c r="B67" s="19">
        <v>6848</v>
      </c>
      <c r="C67" s="19">
        <f>9460*D19</f>
        <v>4893.730973094322</v>
      </c>
      <c r="D67" s="19">
        <v>9754</v>
      </c>
      <c r="E67" s="8">
        <v>3993</v>
      </c>
      <c r="F67" s="8">
        <v>3043</v>
      </c>
      <c r="G67" s="8">
        <v>2271</v>
      </c>
      <c r="H67" s="8">
        <v>1775</v>
      </c>
      <c r="I67" s="8">
        <v>2420</v>
      </c>
      <c r="J67" s="65">
        <v>2887</v>
      </c>
      <c r="K67" s="61">
        <v>3085</v>
      </c>
      <c r="L67" s="24">
        <f t="shared" si="5"/>
        <v>-7979</v>
      </c>
      <c r="M67" s="50">
        <f t="shared" si="6"/>
        <v>18.197662497436948</v>
      </c>
      <c r="N67" s="14">
        <f t="shared" si="7"/>
        <v>1112</v>
      </c>
      <c r="O67" s="14">
        <f t="shared" si="8"/>
        <v>1310</v>
      </c>
    </row>
    <row r="68" spans="1:15" ht="13.5">
      <c r="A68" s="1" t="s">
        <v>13</v>
      </c>
      <c r="B68" s="19">
        <v>1150</v>
      </c>
      <c r="C68" s="19">
        <f>4725*D19</f>
        <v>2444.2789479778717</v>
      </c>
      <c r="D68" s="19">
        <v>13134</v>
      </c>
      <c r="E68" s="8">
        <v>9293</v>
      </c>
      <c r="F68" s="8">
        <v>5776</v>
      </c>
      <c r="G68" s="8">
        <v>3642</v>
      </c>
      <c r="H68" s="8">
        <v>3103</v>
      </c>
      <c r="I68" s="8">
        <v>3851</v>
      </c>
      <c r="J68" s="65">
        <v>6691</v>
      </c>
      <c r="K68" s="61">
        <v>6836</v>
      </c>
      <c r="L68" s="24">
        <f t="shared" si="5"/>
        <v>-10031</v>
      </c>
      <c r="M68" s="50">
        <f t="shared" si="6"/>
        <v>23.62570427897061</v>
      </c>
      <c r="N68" s="14">
        <f t="shared" si="7"/>
        <v>3588</v>
      </c>
      <c r="O68" s="14">
        <f t="shared" si="8"/>
        <v>3733</v>
      </c>
    </row>
    <row r="69" spans="1:15" ht="13.5">
      <c r="A69" s="1" t="s">
        <v>14</v>
      </c>
      <c r="B69" s="33">
        <v>983</v>
      </c>
      <c r="C69" s="33">
        <f>7496*D19</f>
        <v>3877.738623077699</v>
      </c>
      <c r="D69" s="19">
        <v>4209</v>
      </c>
      <c r="E69" s="8">
        <v>3339</v>
      </c>
      <c r="F69" s="8">
        <v>2608</v>
      </c>
      <c r="G69" s="8">
        <v>1244</v>
      </c>
      <c r="H69" s="8">
        <v>746</v>
      </c>
      <c r="I69" s="8">
        <v>770</v>
      </c>
      <c r="J69" s="65">
        <v>3048</v>
      </c>
      <c r="K69" s="61">
        <v>3014</v>
      </c>
      <c r="L69" s="24">
        <f t="shared" si="5"/>
        <v>-3463</v>
      </c>
      <c r="M69" s="50">
        <f t="shared" si="6"/>
        <v>17.72392492278451</v>
      </c>
      <c r="N69" s="14">
        <f t="shared" si="7"/>
        <v>2302</v>
      </c>
      <c r="O69" s="14">
        <f t="shared" si="8"/>
        <v>2268</v>
      </c>
    </row>
    <row r="70" spans="1:15" ht="13.5">
      <c r="A70" s="1" t="s">
        <v>15</v>
      </c>
      <c r="B70" s="19" t="s">
        <v>17</v>
      </c>
      <c r="C70" s="19">
        <f>2830*D19</f>
        <v>1463.9808302174342</v>
      </c>
      <c r="D70" s="19">
        <v>4517</v>
      </c>
      <c r="E70" s="8">
        <v>3123</v>
      </c>
      <c r="F70" s="8">
        <v>3823</v>
      </c>
      <c r="G70" s="8">
        <v>2092</v>
      </c>
      <c r="H70" s="8">
        <v>1419</v>
      </c>
      <c r="I70" s="8">
        <v>1512</v>
      </c>
      <c r="J70" s="65">
        <v>1522</v>
      </c>
      <c r="K70" s="61">
        <v>1577</v>
      </c>
      <c r="L70" s="24">
        <f t="shared" si="5"/>
        <v>-3098</v>
      </c>
      <c r="M70" s="50">
        <f t="shared" si="6"/>
        <v>31.414655744963472</v>
      </c>
      <c r="N70" s="14">
        <f t="shared" si="7"/>
        <v>103</v>
      </c>
      <c r="O70" s="14">
        <f t="shared" si="8"/>
        <v>158</v>
      </c>
    </row>
    <row r="71" spans="1:15" ht="13.5">
      <c r="A71" s="1" t="s">
        <v>36</v>
      </c>
      <c r="B71" s="19" t="s">
        <v>37</v>
      </c>
      <c r="C71" s="19" t="s">
        <v>17</v>
      </c>
      <c r="D71" s="19" t="s">
        <v>37</v>
      </c>
      <c r="E71" s="8" t="s">
        <v>37</v>
      </c>
      <c r="F71" s="8" t="s">
        <v>37</v>
      </c>
      <c r="G71" s="8" t="s">
        <v>37</v>
      </c>
      <c r="H71" s="8" t="s">
        <v>37</v>
      </c>
      <c r="I71" s="8">
        <v>1298</v>
      </c>
      <c r="J71" s="65">
        <v>1293</v>
      </c>
      <c r="K71" s="61">
        <v>1277</v>
      </c>
      <c r="L71" s="24"/>
      <c r="M71" s="50"/>
      <c r="N71" s="14"/>
      <c r="O71" s="14"/>
    </row>
    <row r="72" spans="1:15" ht="13.5">
      <c r="A72" s="1" t="s">
        <v>28</v>
      </c>
      <c r="B72" s="19">
        <f>+B78-B73-SUM(B62:B71)</f>
        <v>4288</v>
      </c>
      <c r="C72" s="19">
        <f aca="true" t="shared" si="9" ref="C72:J72">+C78-C73-SUM(C62:C71)</f>
        <v>5996.000276415405</v>
      </c>
      <c r="D72" s="19">
        <f t="shared" si="9"/>
        <v>9608</v>
      </c>
      <c r="E72" s="37">
        <f t="shared" si="9"/>
        <v>5323</v>
      </c>
      <c r="F72" s="37">
        <f t="shared" si="9"/>
        <v>6926</v>
      </c>
      <c r="G72" s="37">
        <f t="shared" si="9"/>
        <v>2649</v>
      </c>
      <c r="H72" s="37">
        <f t="shared" si="9"/>
        <v>6156</v>
      </c>
      <c r="I72" s="37">
        <f t="shared" si="9"/>
        <v>8552</v>
      </c>
      <c r="J72" s="68">
        <f t="shared" si="9"/>
        <v>12933</v>
      </c>
      <c r="K72" s="63">
        <f>36087-SUM(K65:K71)</f>
        <v>13972</v>
      </c>
      <c r="L72" s="24">
        <f t="shared" si="5"/>
        <v>-3452</v>
      </c>
      <c r="M72" s="50">
        <f t="shared" si="6"/>
        <v>64.07160699417153</v>
      </c>
      <c r="N72" s="14">
        <f t="shared" si="7"/>
        <v>6777</v>
      </c>
      <c r="O72" s="14">
        <f t="shared" si="8"/>
        <v>7816</v>
      </c>
    </row>
    <row r="73" spans="1:15" ht="13.5">
      <c r="A73" s="39" t="s">
        <v>53</v>
      </c>
      <c r="B73" s="33">
        <v>35193</v>
      </c>
      <c r="C73" s="33">
        <f>+C8</f>
        <v>53312</v>
      </c>
      <c r="D73" s="19">
        <f>+D8</f>
        <v>96202</v>
      </c>
      <c r="E73" s="8">
        <v>77042</v>
      </c>
      <c r="F73" s="8">
        <v>63260</v>
      </c>
      <c r="G73" s="8">
        <v>40967</v>
      </c>
      <c r="H73" s="8">
        <v>25342</v>
      </c>
      <c r="I73" s="8">
        <v>26471</v>
      </c>
      <c r="J73" s="65">
        <v>22849</v>
      </c>
      <c r="K73" s="61">
        <v>23252</v>
      </c>
      <c r="L73" s="24">
        <f t="shared" si="5"/>
        <v>-70860</v>
      </c>
      <c r="M73" s="50">
        <f t="shared" si="6"/>
        <v>26.34248768216877</v>
      </c>
      <c r="N73" s="14">
        <f t="shared" si="7"/>
        <v>-2493</v>
      </c>
      <c r="O73" s="14">
        <f t="shared" si="8"/>
        <v>-2090</v>
      </c>
    </row>
    <row r="74" spans="1:15" ht="13.5">
      <c r="A74" s="1" t="s">
        <v>49</v>
      </c>
      <c r="B74" s="33">
        <f>2376+3645+7350+7785</f>
        <v>21156</v>
      </c>
      <c r="C74" s="33">
        <f>+(82076+191468+302492+286762)/12*D19</f>
        <v>37194.33840841996</v>
      </c>
      <c r="D74" s="19">
        <f>7169+14409+21451+25535</f>
        <v>68564</v>
      </c>
      <c r="E74" s="8">
        <f>+(100376+127606+194518+266618)/12</f>
        <v>57426.5</v>
      </c>
      <c r="F74" s="8">
        <f>+(73748+84645+145326+229228)/12</f>
        <v>44412.25</v>
      </c>
      <c r="G74" s="8">
        <f>4039+4284+6399+13529</f>
        <v>28251</v>
      </c>
      <c r="H74" s="8">
        <f>2282+2376+4143+8418</f>
        <v>17219</v>
      </c>
      <c r="I74" s="8">
        <f>2720+2335+4502+9569</f>
        <v>19126</v>
      </c>
      <c r="J74" s="65">
        <f>3047+1957+9941</f>
        <v>14945</v>
      </c>
      <c r="K74" s="61">
        <f>3098+1923+9844</f>
        <v>14865</v>
      </c>
      <c r="L74" s="24">
        <f t="shared" si="5"/>
        <v>-51345</v>
      </c>
      <c r="M74" s="50">
        <f t="shared" si="6"/>
        <v>25.11376232425179</v>
      </c>
      <c r="N74" s="14">
        <f t="shared" si="7"/>
        <v>-2274</v>
      </c>
      <c r="O74" s="14">
        <f t="shared" si="8"/>
        <v>-2354</v>
      </c>
    </row>
    <row r="75" spans="1:15" ht="13.5">
      <c r="A75" s="1" t="s">
        <v>50</v>
      </c>
      <c r="B75" s="33">
        <f>2802+4632</f>
        <v>7434</v>
      </c>
      <c r="C75" s="33">
        <f>+(73412+130012)/12*D19</f>
        <v>8769.40036531659</v>
      </c>
      <c r="D75" s="19">
        <f>4283+11102</f>
        <v>15385</v>
      </c>
      <c r="E75" s="8">
        <f>+(34609+88676)/12</f>
        <v>10273.75</v>
      </c>
      <c r="F75" s="8">
        <f>+(20974+94757)/12</f>
        <v>9644.25</v>
      </c>
      <c r="G75" s="8">
        <f>1037+4996</f>
        <v>6033</v>
      </c>
      <c r="H75" s="8">
        <f>518+3299</f>
        <v>3817</v>
      </c>
      <c r="I75" s="8">
        <f>455+3164+403+228</f>
        <v>4250</v>
      </c>
      <c r="J75" s="65">
        <f>634+4077</f>
        <v>4711</v>
      </c>
      <c r="K75" s="61">
        <f>706+4375</f>
        <v>5081</v>
      </c>
      <c r="L75" s="24">
        <f t="shared" si="5"/>
        <v>-11568</v>
      </c>
      <c r="M75" s="50">
        <f t="shared" si="6"/>
        <v>24.809879753006175</v>
      </c>
      <c r="N75" s="14">
        <f t="shared" si="7"/>
        <v>894</v>
      </c>
      <c r="O75" s="14">
        <f t="shared" si="8"/>
        <v>1264</v>
      </c>
    </row>
    <row r="76" spans="1:15" ht="13.5">
      <c r="A76" s="1" t="s">
        <v>51</v>
      </c>
      <c r="B76" s="33">
        <f>+1202</f>
        <v>1202</v>
      </c>
      <c r="C76" s="33">
        <f>36938/12*D19</f>
        <v>1592.359361206466</v>
      </c>
      <c r="D76" s="19">
        <v>4111</v>
      </c>
      <c r="E76" s="8">
        <f>42848/12</f>
        <v>3570.6666666666665</v>
      </c>
      <c r="F76" s="8">
        <f>46372/12</f>
        <v>3864.3333333333335</v>
      </c>
      <c r="G76" s="8">
        <v>3232</v>
      </c>
      <c r="H76" s="8">
        <v>1860</v>
      </c>
      <c r="I76" s="8">
        <v>2036</v>
      </c>
      <c r="J76" s="65">
        <v>2495</v>
      </c>
      <c r="K76" s="61">
        <v>2566</v>
      </c>
      <c r="L76" s="24">
        <f t="shared" si="5"/>
        <v>-2251</v>
      </c>
      <c r="M76" s="50">
        <f t="shared" si="6"/>
        <v>45.24446606665045</v>
      </c>
      <c r="N76" s="14">
        <f t="shared" si="7"/>
        <v>635</v>
      </c>
      <c r="O76" s="14">
        <f t="shared" si="8"/>
        <v>706</v>
      </c>
    </row>
    <row r="77" spans="1:15" ht="13.5">
      <c r="A77" s="1" t="s">
        <v>52</v>
      </c>
      <c r="B77" s="33">
        <f>1536+1144+1611+1050</f>
        <v>5341</v>
      </c>
      <c r="C77" s="33">
        <f>+(41383+16594+39314+30222)/12*D19</f>
        <v>5496.954876428614</v>
      </c>
      <c r="D77" s="19">
        <f>2164+958+2631+2389</f>
        <v>8142</v>
      </c>
      <c r="E77" s="8">
        <f>+(19396+7545+24634+17672)/12</f>
        <v>5770.583333333333</v>
      </c>
      <c r="F77" s="8">
        <f>+(21275+27762+15034)/12</f>
        <v>5339.25</v>
      </c>
      <c r="G77" s="8">
        <f>1156+1739+556</f>
        <v>3451</v>
      </c>
      <c r="H77" s="8">
        <f>895+1188+363</f>
        <v>2446</v>
      </c>
      <c r="I77" s="8">
        <f>143+458+458</f>
        <v>1059</v>
      </c>
      <c r="J77" s="65">
        <f>348+350</f>
        <v>698</v>
      </c>
      <c r="K77" s="61">
        <f>388+351</f>
        <v>739</v>
      </c>
      <c r="L77" s="24">
        <f t="shared" si="5"/>
        <v>-5696</v>
      </c>
      <c r="M77" s="50">
        <f t="shared" si="6"/>
        <v>30.041758781626136</v>
      </c>
      <c r="N77" s="14">
        <f t="shared" si="7"/>
        <v>-1748</v>
      </c>
      <c r="O77" s="14">
        <f t="shared" si="8"/>
        <v>-1707</v>
      </c>
    </row>
    <row r="78" spans="1:15" ht="13.5">
      <c r="A78" s="3" t="s">
        <v>3</v>
      </c>
      <c r="B78" s="20">
        <f>+B9</f>
        <v>87797</v>
      </c>
      <c r="C78" s="20">
        <f>+C9</f>
        <v>138490</v>
      </c>
      <c r="D78" s="20">
        <f>+D9</f>
        <v>247608</v>
      </c>
      <c r="E78" s="9">
        <v>189904</v>
      </c>
      <c r="F78" s="9">
        <v>179861</v>
      </c>
      <c r="G78" s="9">
        <v>122124</v>
      </c>
      <c r="H78" s="9">
        <v>79669</v>
      </c>
      <c r="I78" s="9">
        <v>92595</v>
      </c>
      <c r="J78" s="66">
        <v>122124</v>
      </c>
      <c r="K78" s="62">
        <v>132266</v>
      </c>
      <c r="L78" s="25">
        <f t="shared" si="5"/>
        <v>-167939</v>
      </c>
      <c r="M78" s="51">
        <f t="shared" si="6"/>
        <v>32.175454751058126</v>
      </c>
      <c r="N78" s="15">
        <f t="shared" si="7"/>
        <v>42455</v>
      </c>
      <c r="O78" s="15">
        <f t="shared" si="8"/>
        <v>52597</v>
      </c>
    </row>
    <row r="79" spans="1:13" ht="13.5">
      <c r="A79" s="36" t="s">
        <v>38</v>
      </c>
      <c r="B79" s="12"/>
      <c r="C79" s="12"/>
      <c r="D79" s="12"/>
      <c r="E79" s="2"/>
      <c r="F79" s="2"/>
      <c r="G79" s="2"/>
      <c r="H79" s="2"/>
      <c r="I79" s="2"/>
      <c r="J79" s="2"/>
      <c r="K79" s="2"/>
      <c r="L79" s="2"/>
      <c r="M79" s="2"/>
    </row>
    <row r="80" spans="1:13" ht="13.5">
      <c r="A80" s="13" t="s">
        <v>43</v>
      </c>
      <c r="B80" s="19">
        <f>+B73-B74-B75-B76-B77</f>
        <v>60</v>
      </c>
      <c r="C80" s="19">
        <f aca="true" t="shared" si="10" ref="C80:J80">+C73-C74-C75-C76-C77</f>
        <v>258.94698862837413</v>
      </c>
      <c r="D80" s="19">
        <f t="shared" si="10"/>
        <v>0</v>
      </c>
      <c r="E80" s="19">
        <f t="shared" si="10"/>
        <v>0.5000000000009095</v>
      </c>
      <c r="F80" s="19">
        <f t="shared" si="10"/>
        <v>-0.08333333333393966</v>
      </c>
      <c r="G80" s="19">
        <f t="shared" si="10"/>
        <v>0</v>
      </c>
      <c r="H80" s="19">
        <f t="shared" si="10"/>
        <v>0</v>
      </c>
      <c r="I80" s="19">
        <f t="shared" si="10"/>
        <v>0</v>
      </c>
      <c r="J80" s="19">
        <f t="shared" si="10"/>
        <v>0</v>
      </c>
      <c r="K80" s="19">
        <f>+K73-K74-K75-K76-K77</f>
        <v>1</v>
      </c>
      <c r="L80" s="2"/>
      <c r="M80" s="2"/>
    </row>
    <row r="81" spans="1:13" ht="13.5">
      <c r="A81" s="12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2"/>
      <c r="M81" s="2"/>
    </row>
    <row r="82" spans="1:14" ht="13.5">
      <c r="A82" s="13" t="s">
        <v>63</v>
      </c>
      <c r="B82" s="19">
        <f>+SUM(B66:B71)+B74</f>
        <v>33437</v>
      </c>
      <c r="C82" s="19">
        <f aca="true" t="shared" si="11" ref="C82:J82">+SUM(C66:C71)+C74</f>
        <v>53273.29677054656</v>
      </c>
      <c r="D82" s="19">
        <f t="shared" si="11"/>
        <v>107272</v>
      </c>
      <c r="E82" s="19">
        <f t="shared" si="11"/>
        <v>81372.5</v>
      </c>
      <c r="F82" s="19">
        <f t="shared" si="11"/>
        <v>63954.25</v>
      </c>
      <c r="G82" s="19">
        <f t="shared" si="11"/>
        <v>39782</v>
      </c>
      <c r="H82" s="19">
        <f t="shared" si="11"/>
        <v>25607</v>
      </c>
      <c r="I82" s="19">
        <f t="shared" si="11"/>
        <v>30412</v>
      </c>
      <c r="J82" s="19">
        <f t="shared" si="11"/>
        <v>32075</v>
      </c>
      <c r="K82" s="19">
        <f>+SUM(K66:K71)+K74</f>
        <v>32461</v>
      </c>
      <c r="L82" s="58">
        <f>+H82-D82</f>
        <v>-81665</v>
      </c>
      <c r="M82" s="59">
        <f>H82/D82*100</f>
        <v>23.871094041315537</v>
      </c>
      <c r="N82" s="60">
        <f>+J82-H82</f>
        <v>6468</v>
      </c>
    </row>
    <row r="84" ht="13.5">
      <c r="E84" t="s">
        <v>46</v>
      </c>
    </row>
    <row r="85" ht="13.5">
      <c r="J85" t="s">
        <v>5</v>
      </c>
    </row>
    <row r="86" spans="1:15" ht="13.5">
      <c r="A86" s="5" t="s">
        <v>4</v>
      </c>
      <c r="B86" s="7">
        <v>1955</v>
      </c>
      <c r="C86" s="7">
        <v>1960</v>
      </c>
      <c r="D86" s="7">
        <v>1963</v>
      </c>
      <c r="E86" s="7">
        <v>1970</v>
      </c>
      <c r="F86" s="7">
        <v>1980</v>
      </c>
      <c r="G86" s="7">
        <v>1990</v>
      </c>
      <c r="H86" s="7">
        <v>2000</v>
      </c>
      <c r="I86" s="7">
        <v>2005</v>
      </c>
      <c r="J86" s="26">
        <v>2010</v>
      </c>
      <c r="K86" s="64">
        <v>2012</v>
      </c>
      <c r="L86" s="11" t="s">
        <v>48</v>
      </c>
      <c r="M86" s="11"/>
      <c r="N86" s="10" t="s">
        <v>8</v>
      </c>
      <c r="O86" s="72" t="s">
        <v>64</v>
      </c>
    </row>
    <row r="87" spans="1:15" ht="13.5">
      <c r="A87" s="5" t="s">
        <v>0</v>
      </c>
      <c r="B87" s="21">
        <f aca="true" t="shared" si="12" ref="B87:J94">+B62/B$78*100</f>
        <v>19.692016811508367</v>
      </c>
      <c r="C87" s="21">
        <f t="shared" si="12"/>
        <v>20.391363997400536</v>
      </c>
      <c r="D87" s="21">
        <f aca="true" t="shared" si="13" ref="D87:D95">+D62/D$78*100</f>
        <v>22.453636393008303</v>
      </c>
      <c r="E87" s="17">
        <f t="shared" si="12"/>
        <v>24.851503917768976</v>
      </c>
      <c r="F87" s="17">
        <f t="shared" si="12"/>
        <v>27.393375995907952</v>
      </c>
      <c r="G87" s="17">
        <f t="shared" si="12"/>
        <v>17.8875569093708</v>
      </c>
      <c r="H87" s="17">
        <f t="shared" si="12"/>
        <v>16.2710715585736</v>
      </c>
      <c r="I87" s="17">
        <f t="shared" si="12"/>
        <v>13.78152168043631</v>
      </c>
      <c r="J87" s="27">
        <f t="shared" si="12"/>
        <v>17.8875569093708</v>
      </c>
      <c r="K87" s="21">
        <f aca="true" t="shared" si="14" ref="K87:K103">+K62/K$78*100</f>
        <v>18.313852388368893</v>
      </c>
      <c r="L87" s="18">
        <f>+H87-D87</f>
        <v>-6.182564834434704</v>
      </c>
      <c r="M87" s="18"/>
      <c r="N87" s="18">
        <f>+J87-H87</f>
        <v>1.616485350797202</v>
      </c>
      <c r="O87" s="18">
        <f>+K87-H87</f>
        <v>2.0427808297952943</v>
      </c>
    </row>
    <row r="88" spans="1:15" ht="13.5">
      <c r="A88" s="5" t="s">
        <v>1</v>
      </c>
      <c r="B88" s="21">
        <f t="shared" si="12"/>
        <v>7.9945784024511095</v>
      </c>
      <c r="C88" s="21">
        <f t="shared" si="12"/>
        <v>8.241750306881364</v>
      </c>
      <c r="D88" s="21">
        <f t="shared" si="13"/>
        <v>9.510597395883815</v>
      </c>
      <c r="E88" s="17">
        <f t="shared" si="12"/>
        <v>10.747535596933186</v>
      </c>
      <c r="F88" s="17">
        <f t="shared" si="12"/>
        <v>15.695453711477198</v>
      </c>
      <c r="G88" s="17">
        <f t="shared" si="12"/>
        <v>30.981625233369364</v>
      </c>
      <c r="H88" s="17">
        <f t="shared" si="12"/>
        <v>26.577464258368998</v>
      </c>
      <c r="I88" s="17">
        <f t="shared" si="12"/>
        <v>28.216426372914306</v>
      </c>
      <c r="J88" s="27">
        <f t="shared" si="12"/>
        <v>30.981625233369364</v>
      </c>
      <c r="K88" s="21">
        <f t="shared" si="14"/>
        <v>32.30006199628022</v>
      </c>
      <c r="L88" s="18">
        <f aca="true" t="shared" si="15" ref="L88:L102">+H88-D88</f>
        <v>17.066866862485185</v>
      </c>
      <c r="M88" s="18"/>
      <c r="N88" s="18">
        <f aca="true" t="shared" si="16" ref="N88:N98">+J88-H88</f>
        <v>4.404160975000366</v>
      </c>
      <c r="O88" s="18">
        <f aca="true" t="shared" si="17" ref="O88:O102">+K88-H88</f>
        <v>5.722597737911222</v>
      </c>
    </row>
    <row r="89" spans="1:15" ht="13.5">
      <c r="A89" s="5" t="s">
        <v>9</v>
      </c>
      <c r="B89" s="21">
        <f t="shared" si="12"/>
        <v>2.596899666275613</v>
      </c>
      <c r="C89" s="21">
        <f t="shared" si="12"/>
        <v>2.396969889396481</v>
      </c>
      <c r="D89" s="21">
        <f t="shared" si="13"/>
        <v>1.9058350295628574</v>
      </c>
      <c r="E89" s="17">
        <f t="shared" si="12"/>
        <v>2.0457704945656756</v>
      </c>
      <c r="F89" s="17">
        <f t="shared" si="12"/>
        <v>2.8927894318390313</v>
      </c>
      <c r="G89" s="17">
        <f t="shared" si="12"/>
        <v>1.5254986734794145</v>
      </c>
      <c r="H89" s="17">
        <f t="shared" si="12"/>
        <v>2.5894639069148604</v>
      </c>
      <c r="I89" s="17">
        <f t="shared" si="12"/>
        <v>3.662184783195637</v>
      </c>
      <c r="J89" s="27">
        <f t="shared" si="12"/>
        <v>4.242409354426648</v>
      </c>
      <c r="K89" s="21">
        <f t="shared" si="14"/>
        <v>4.523460299699091</v>
      </c>
      <c r="L89" s="18">
        <f t="shared" si="15"/>
        <v>0.683628877352003</v>
      </c>
      <c r="M89" s="18"/>
      <c r="N89" s="18">
        <f t="shared" si="16"/>
        <v>1.652945447511788</v>
      </c>
      <c r="O89" s="18">
        <f t="shared" si="17"/>
        <v>1.933996392784231</v>
      </c>
    </row>
    <row r="90" spans="1:15" ht="13.5">
      <c r="A90" s="5" t="s">
        <v>10</v>
      </c>
      <c r="B90" s="21">
        <f t="shared" si="12"/>
        <v>10.760048748818296</v>
      </c>
      <c r="C90" s="21">
        <f t="shared" si="12"/>
        <v>14.534968417671163</v>
      </c>
      <c r="D90" s="21">
        <f t="shared" si="13"/>
        <v>7.764288714419567</v>
      </c>
      <c r="E90" s="17">
        <f t="shared" si="12"/>
        <v>6.373746735192519</v>
      </c>
      <c r="F90" s="17">
        <f t="shared" si="12"/>
        <v>4.130967802914473</v>
      </c>
      <c r="G90" s="17">
        <f t="shared" si="12"/>
        <v>4.448757001080868</v>
      </c>
      <c r="H90" s="17">
        <f t="shared" si="12"/>
        <v>4.497357817971858</v>
      </c>
      <c r="I90" s="17">
        <f t="shared" si="12"/>
        <v>4.3274474863653545</v>
      </c>
      <c r="J90" s="27">
        <f t="shared" si="12"/>
        <v>3.561953424388327</v>
      </c>
      <c r="K90" s="21">
        <f t="shared" si="14"/>
        <v>3.416599882055857</v>
      </c>
      <c r="L90" s="18">
        <f t="shared" si="15"/>
        <v>-3.2669308964477084</v>
      </c>
      <c r="M90" s="18"/>
      <c r="N90" s="18">
        <f t="shared" si="16"/>
        <v>-0.9354043935835312</v>
      </c>
      <c r="O90" s="18">
        <f t="shared" si="17"/>
        <v>-1.0807579359160013</v>
      </c>
    </row>
    <row r="91" spans="1:15" ht="13.5">
      <c r="A91" s="16" t="s">
        <v>11</v>
      </c>
      <c r="B91" s="22">
        <f t="shared" si="12"/>
        <v>3.75867056960944</v>
      </c>
      <c r="C91" s="22">
        <f t="shared" si="12"/>
        <v>2.454494178467239</v>
      </c>
      <c r="D91" s="22">
        <f t="shared" si="13"/>
        <v>2.86501243901651</v>
      </c>
      <c r="E91" s="17">
        <f t="shared" si="12"/>
        <v>2.210590614205072</v>
      </c>
      <c r="F91" s="17">
        <f t="shared" si="12"/>
        <v>2.386287188439962</v>
      </c>
      <c r="G91" s="17">
        <f t="shared" si="12"/>
        <v>1.8685925780354395</v>
      </c>
      <c r="H91" s="17">
        <f t="shared" si="12"/>
        <v>1.6882350726129358</v>
      </c>
      <c r="I91" s="17">
        <f t="shared" si="12"/>
        <v>1.5497597062476376</v>
      </c>
      <c r="J91" s="27">
        <f t="shared" si="12"/>
        <v>1.3830205365038812</v>
      </c>
      <c r="K91" s="21">
        <f t="shared" si="14"/>
        <v>1.3661863215036367</v>
      </c>
      <c r="L91" s="18">
        <f t="shared" si="15"/>
        <v>-1.176777366403574</v>
      </c>
      <c r="M91" s="18"/>
      <c r="N91" s="18">
        <f t="shared" si="16"/>
        <v>-0.3052145361090546</v>
      </c>
      <c r="O91" s="18">
        <f t="shared" si="17"/>
        <v>-0.3220487511092991</v>
      </c>
    </row>
    <row r="92" spans="1:15" ht="13.5">
      <c r="A92" s="16" t="s">
        <v>12</v>
      </c>
      <c r="B92" s="22">
        <f t="shared" si="12"/>
        <v>7.799810927480438</v>
      </c>
      <c r="C92" s="22">
        <f t="shared" si="12"/>
        <v>3.5336349000608864</v>
      </c>
      <c r="D92" s="22">
        <f t="shared" si="13"/>
        <v>3.939291137604601</v>
      </c>
      <c r="E92" s="17">
        <f t="shared" si="12"/>
        <v>2.102641334569045</v>
      </c>
      <c r="F92" s="17">
        <f t="shared" si="12"/>
        <v>1.6918620490267484</v>
      </c>
      <c r="G92" s="17">
        <f t="shared" si="12"/>
        <v>1.859585339491009</v>
      </c>
      <c r="H92" s="17">
        <f t="shared" si="12"/>
        <v>2.227968218504061</v>
      </c>
      <c r="I92" s="17">
        <f t="shared" si="12"/>
        <v>2.6135320481667477</v>
      </c>
      <c r="J92" s="27">
        <f t="shared" si="12"/>
        <v>2.363990697979103</v>
      </c>
      <c r="K92" s="21">
        <f t="shared" si="14"/>
        <v>2.332421030347935</v>
      </c>
      <c r="L92" s="18">
        <f t="shared" si="15"/>
        <v>-1.7113229191005401</v>
      </c>
      <c r="M92" s="18"/>
      <c r="N92" s="18">
        <f t="shared" si="16"/>
        <v>0.13602247947504242</v>
      </c>
      <c r="O92" s="18">
        <f t="shared" si="17"/>
        <v>0.10445281184387412</v>
      </c>
    </row>
    <row r="93" spans="1:15" ht="13.5">
      <c r="A93" s="16" t="s">
        <v>13</v>
      </c>
      <c r="B93" s="22">
        <f t="shared" si="12"/>
        <v>1.3098397439548048</v>
      </c>
      <c r="C93" s="22">
        <f t="shared" si="12"/>
        <v>1.7649497783073664</v>
      </c>
      <c r="D93" s="22">
        <f t="shared" si="13"/>
        <v>5.304352040321799</v>
      </c>
      <c r="E93" s="17">
        <f t="shared" si="12"/>
        <v>4.893525149549246</v>
      </c>
      <c r="F93" s="17">
        <f t="shared" si="12"/>
        <v>3.2113687792239562</v>
      </c>
      <c r="G93" s="17">
        <f t="shared" si="12"/>
        <v>2.982214798074089</v>
      </c>
      <c r="H93" s="17">
        <f t="shared" si="12"/>
        <v>3.894865003953859</v>
      </c>
      <c r="I93" s="17">
        <f t="shared" si="12"/>
        <v>4.1589718667314655</v>
      </c>
      <c r="J93" s="27">
        <f t="shared" si="12"/>
        <v>5.47885755461662</v>
      </c>
      <c r="K93" s="21">
        <f t="shared" si="14"/>
        <v>5.168372824459801</v>
      </c>
      <c r="L93" s="18">
        <f t="shared" si="15"/>
        <v>-1.4094870363679401</v>
      </c>
      <c r="M93" s="18"/>
      <c r="N93" s="18">
        <f t="shared" si="16"/>
        <v>1.583992550662761</v>
      </c>
      <c r="O93" s="18">
        <f t="shared" si="17"/>
        <v>1.2735078205059418</v>
      </c>
    </row>
    <row r="94" spans="1:15" ht="13.5">
      <c r="A94" s="16" t="s">
        <v>14</v>
      </c>
      <c r="B94" s="22">
        <f t="shared" si="12"/>
        <v>1.119628233310933</v>
      </c>
      <c r="C94" s="22">
        <f t="shared" si="12"/>
        <v>2.800013447236406</v>
      </c>
      <c r="D94" s="22">
        <f t="shared" si="13"/>
        <v>1.699864301638073</v>
      </c>
      <c r="E94" s="17">
        <f t="shared" si="12"/>
        <v>1.7582568034375263</v>
      </c>
      <c r="F94" s="17">
        <f t="shared" si="12"/>
        <v>1.4500086177659415</v>
      </c>
      <c r="G94" s="17">
        <f t="shared" si="12"/>
        <v>1.0186367953882938</v>
      </c>
      <c r="H94" s="17">
        <f t="shared" si="12"/>
        <v>0.9363742484529742</v>
      </c>
      <c r="I94" s="17">
        <f t="shared" si="12"/>
        <v>0.8315783789621469</v>
      </c>
      <c r="J94" s="27">
        <f t="shared" si="12"/>
        <v>2.495823916674855</v>
      </c>
      <c r="K94" s="21">
        <f t="shared" si="14"/>
        <v>2.2787413243010297</v>
      </c>
      <c r="L94" s="18">
        <f t="shared" si="15"/>
        <v>-0.7634900531850988</v>
      </c>
      <c r="M94" s="18"/>
      <c r="N94" s="18">
        <f t="shared" si="16"/>
        <v>1.5594496682218806</v>
      </c>
      <c r="O94" s="18">
        <f t="shared" si="17"/>
        <v>1.3423670758480555</v>
      </c>
    </row>
    <row r="95" spans="1:15" ht="13.5">
      <c r="A95" s="5" t="s">
        <v>15</v>
      </c>
      <c r="B95" s="21" t="s">
        <v>17</v>
      </c>
      <c r="C95" s="22">
        <f>+C70/C$78*100</f>
        <v>1.0571021952613433</v>
      </c>
      <c r="D95" s="22">
        <f t="shared" si="13"/>
        <v>1.824254466737747</v>
      </c>
      <c r="E95" s="17">
        <f aca="true" t="shared" si="18" ref="E95:J95">+E70/E$78*100</f>
        <v>1.644515123430786</v>
      </c>
      <c r="F95" s="17">
        <f t="shared" si="18"/>
        <v>2.1255302705978507</v>
      </c>
      <c r="G95" s="17">
        <f t="shared" si="18"/>
        <v>1.7130130031770985</v>
      </c>
      <c r="H95" s="17">
        <f t="shared" si="18"/>
        <v>1.7811193814407111</v>
      </c>
      <c r="I95" s="17">
        <f t="shared" si="18"/>
        <v>1.6329175441438522</v>
      </c>
      <c r="J95" s="27">
        <f t="shared" si="18"/>
        <v>1.2462742786020766</v>
      </c>
      <c r="K95" s="21">
        <f t="shared" si="14"/>
        <v>1.1922943159995767</v>
      </c>
      <c r="L95" s="18">
        <f t="shared" si="15"/>
        <v>-0.0431350852970358</v>
      </c>
      <c r="M95" s="18"/>
      <c r="N95" s="18">
        <f t="shared" si="16"/>
        <v>-0.5348451028386345</v>
      </c>
      <c r="O95" s="18">
        <f t="shared" si="17"/>
        <v>-0.5888250654411344</v>
      </c>
    </row>
    <row r="96" spans="1:15" ht="13.5">
      <c r="A96" s="1" t="s">
        <v>36</v>
      </c>
      <c r="B96" s="22" t="s">
        <v>37</v>
      </c>
      <c r="C96" s="22"/>
      <c r="D96" s="22"/>
      <c r="E96" s="17"/>
      <c r="F96" s="17"/>
      <c r="G96" s="17"/>
      <c r="H96" s="17"/>
      <c r="I96" s="17">
        <f>+I71/I$78*100</f>
        <v>1.4018035531076192</v>
      </c>
      <c r="J96" s="27">
        <f>+J71/J$78*100</f>
        <v>1.0587599489043924</v>
      </c>
      <c r="K96" s="21">
        <f t="shared" si="14"/>
        <v>0.9654786566464549</v>
      </c>
      <c r="L96" s="18"/>
      <c r="M96" s="18"/>
      <c r="N96" s="18"/>
      <c r="O96" s="18"/>
    </row>
    <row r="97" spans="1:15" ht="13.5">
      <c r="A97" s="5" t="s">
        <v>2</v>
      </c>
      <c r="B97" s="21">
        <f aca="true" t="shared" si="19" ref="B97:D100">+B72/B$78*100</f>
        <v>4.883993758328872</v>
      </c>
      <c r="C97" s="21">
        <f t="shared" si="19"/>
        <v>4.329554680060225</v>
      </c>
      <c r="D97" s="21">
        <f t="shared" si="19"/>
        <v>3.880326968433976</v>
      </c>
      <c r="E97" s="17">
        <f aca="true" t="shared" si="20" ref="E97:J97">+E72/E$78*100</f>
        <v>2.802995197573511</v>
      </c>
      <c r="F97" s="17">
        <f t="shared" si="20"/>
        <v>3.850751413591607</v>
      </c>
      <c r="G97" s="17">
        <f t="shared" si="20"/>
        <v>2.1691068094723396</v>
      </c>
      <c r="H97" s="17">
        <f t="shared" si="20"/>
        <v>7.726970339780843</v>
      </c>
      <c r="I97" s="17">
        <f t="shared" si="20"/>
        <v>9.235919866083481</v>
      </c>
      <c r="J97" s="27">
        <f t="shared" si="20"/>
        <v>10.590056008646949</v>
      </c>
      <c r="K97" s="21">
        <f t="shared" si="14"/>
        <v>10.563561308272723</v>
      </c>
      <c r="L97" s="18">
        <f t="shared" si="15"/>
        <v>3.8466433713468673</v>
      </c>
      <c r="M97" s="18"/>
      <c r="N97" s="18">
        <f t="shared" si="16"/>
        <v>2.8630856688661055</v>
      </c>
      <c r="O97" s="18">
        <f t="shared" si="17"/>
        <v>2.8365909684918797</v>
      </c>
    </row>
    <row r="98" spans="1:15" ht="13.5">
      <c r="A98" s="1" t="s">
        <v>16</v>
      </c>
      <c r="B98" s="23">
        <f t="shared" si="19"/>
        <v>40.08451313826213</v>
      </c>
      <c r="C98" s="21">
        <f t="shared" si="19"/>
        <v>38.49519820925698</v>
      </c>
      <c r="D98" s="21">
        <f t="shared" si="19"/>
        <v>38.85254111337275</v>
      </c>
      <c r="E98" s="17">
        <f aca="true" t="shared" si="21" ref="E98:J98">+E73/E$78*100</f>
        <v>40.56891903277445</v>
      </c>
      <c r="F98" s="17">
        <f t="shared" si="21"/>
        <v>35.17160473921528</v>
      </c>
      <c r="G98" s="17">
        <f t="shared" si="21"/>
        <v>33.54541285906128</v>
      </c>
      <c r="H98" s="17">
        <f t="shared" si="21"/>
        <v>31.8091101934253</v>
      </c>
      <c r="I98" s="17">
        <f t="shared" si="21"/>
        <v>28.587936713645444</v>
      </c>
      <c r="J98" s="27">
        <f t="shared" si="21"/>
        <v>18.709672136516982</v>
      </c>
      <c r="K98" s="21">
        <f t="shared" si="14"/>
        <v>17.57972570426262</v>
      </c>
      <c r="L98" s="18">
        <f t="shared" si="15"/>
        <v>-7.0434309199474505</v>
      </c>
      <c r="M98" s="18"/>
      <c r="N98" s="18">
        <f t="shared" si="16"/>
        <v>-13.099438056908319</v>
      </c>
      <c r="O98" s="18">
        <f t="shared" si="17"/>
        <v>-14.22938448916268</v>
      </c>
    </row>
    <row r="99" spans="1:15" ht="13.5">
      <c r="A99" s="5" t="s">
        <v>49</v>
      </c>
      <c r="B99" s="21">
        <f t="shared" si="19"/>
        <v>24.096495324441612</v>
      </c>
      <c r="C99" s="21">
        <f t="shared" si="19"/>
        <v>26.85705712211709</v>
      </c>
      <c r="D99" s="21">
        <f t="shared" si="19"/>
        <v>27.690543116539047</v>
      </c>
      <c r="E99" s="17">
        <f aca="true" t="shared" si="22" ref="E99:J100">+E74/E$78*100</f>
        <v>30.239752717162354</v>
      </c>
      <c r="F99" s="17">
        <f t="shared" si="22"/>
        <v>24.692540350604077</v>
      </c>
      <c r="G99" s="17">
        <f t="shared" si="22"/>
        <v>23.133045101699913</v>
      </c>
      <c r="H99" s="17">
        <f t="shared" si="22"/>
        <v>21.61317450953319</v>
      </c>
      <c r="I99" s="17">
        <f t="shared" si="22"/>
        <v>20.655542955883146</v>
      </c>
      <c r="J99" s="27">
        <f t="shared" si="22"/>
        <v>12.23756182241001</v>
      </c>
      <c r="K99" s="21">
        <f t="shared" si="14"/>
        <v>11.23871592094718</v>
      </c>
      <c r="L99" s="18">
        <f t="shared" si="15"/>
        <v>-6.077368607005855</v>
      </c>
      <c r="M99" s="18"/>
      <c r="N99" s="18">
        <f>+J99-H99</f>
        <v>-9.375612687123182</v>
      </c>
      <c r="O99" s="18">
        <f t="shared" si="17"/>
        <v>-10.37445858858601</v>
      </c>
    </row>
    <row r="100" spans="1:15" ht="13.5">
      <c r="A100" s="5" t="s">
        <v>50</v>
      </c>
      <c r="B100" s="21">
        <f t="shared" si="19"/>
        <v>8.46725970135654</v>
      </c>
      <c r="C100" s="21">
        <f t="shared" si="19"/>
        <v>6.332154209918831</v>
      </c>
      <c r="D100" s="21">
        <f t="shared" si="19"/>
        <v>6.213450292397661</v>
      </c>
      <c r="E100" s="17">
        <f t="shared" si="22"/>
        <v>5.409970300783554</v>
      </c>
      <c r="F100" s="17">
        <f t="shared" si="22"/>
        <v>5.362057366521925</v>
      </c>
      <c r="G100" s="17">
        <f t="shared" si="22"/>
        <v>4.940060921686155</v>
      </c>
      <c r="H100" s="17">
        <f t="shared" si="22"/>
        <v>4.791073064805634</v>
      </c>
      <c r="I100" s="17">
        <f t="shared" si="22"/>
        <v>4.589880663102759</v>
      </c>
      <c r="J100" s="27">
        <f t="shared" si="22"/>
        <v>3.8575546166191734</v>
      </c>
      <c r="K100" s="21">
        <f t="shared" si="14"/>
        <v>3.841501217244039</v>
      </c>
      <c r="L100" s="18">
        <f t="shared" si="15"/>
        <v>-1.422377227592027</v>
      </c>
      <c r="M100" s="18"/>
      <c r="N100" s="18">
        <f>+J100-H100</f>
        <v>-0.9335184481864602</v>
      </c>
      <c r="O100" s="18">
        <f t="shared" si="17"/>
        <v>-0.9495718475615949</v>
      </c>
    </row>
    <row r="101" spans="1:15" ht="13.5">
      <c r="A101" s="5" t="s">
        <v>51</v>
      </c>
      <c r="B101" s="21">
        <f aca="true" t="shared" si="23" ref="B101:J101">+B76/B$78*100</f>
        <v>1.369067280203196</v>
      </c>
      <c r="C101" s="21">
        <f t="shared" si="23"/>
        <v>1.149800968450044</v>
      </c>
      <c r="D101" s="21">
        <f>+D76/D$78*100</f>
        <v>1.6602856127427223</v>
      </c>
      <c r="E101" s="17">
        <f t="shared" si="23"/>
        <v>1.8802482657904345</v>
      </c>
      <c r="F101" s="17">
        <f t="shared" si="23"/>
        <v>2.1485109797751227</v>
      </c>
      <c r="G101" s="17">
        <f t="shared" si="23"/>
        <v>2.646490452327143</v>
      </c>
      <c r="H101" s="17">
        <f t="shared" si="23"/>
        <v>2.334659654319748</v>
      </c>
      <c r="I101" s="17">
        <f t="shared" si="23"/>
        <v>2.198822830606404</v>
      </c>
      <c r="J101" s="27">
        <f t="shared" si="23"/>
        <v>2.043005469850316</v>
      </c>
      <c r="K101" s="21">
        <f t="shared" si="14"/>
        <v>1.9400299396670344</v>
      </c>
      <c r="L101" s="18">
        <f t="shared" si="15"/>
        <v>0.6743740415770256</v>
      </c>
      <c r="M101" s="18"/>
      <c r="N101" s="18">
        <f>+J101-H101</f>
        <v>-0.29165418446943203</v>
      </c>
      <c r="O101" s="18">
        <f t="shared" si="17"/>
        <v>-0.39462971465271357</v>
      </c>
    </row>
    <row r="102" spans="1:15" ht="13.5">
      <c r="A102" s="5" t="s">
        <v>52</v>
      </c>
      <c r="B102" s="21">
        <f aca="true" t="shared" si="24" ref="B102:J102">+B77/B$78*100</f>
        <v>6.083351367358794</v>
      </c>
      <c r="C102" s="21">
        <f t="shared" si="24"/>
        <v>3.9692070737443954</v>
      </c>
      <c r="D102" s="21">
        <f>+D77/D$78*100</f>
        <v>3.288262091693322</v>
      </c>
      <c r="E102" s="17">
        <f t="shared" si="24"/>
        <v>3.038684458112169</v>
      </c>
      <c r="F102" s="17">
        <f t="shared" si="24"/>
        <v>2.9685423743891115</v>
      </c>
      <c r="G102" s="17">
        <f t="shared" si="24"/>
        <v>2.8258163833480725</v>
      </c>
      <c r="H102" s="17">
        <f t="shared" si="24"/>
        <v>3.0702029647667226</v>
      </c>
      <c r="I102" s="17">
        <f t="shared" si="24"/>
        <v>1.1436902640531346</v>
      </c>
      <c r="J102" s="27">
        <f t="shared" si="24"/>
        <v>0.5715502276374832</v>
      </c>
      <c r="K102" s="21">
        <f t="shared" si="14"/>
        <v>0.5587225742065233</v>
      </c>
      <c r="L102" s="18">
        <f t="shared" si="15"/>
        <v>-0.21805912692659923</v>
      </c>
      <c r="M102" s="18"/>
      <c r="N102" s="18">
        <f>+J102-H102</f>
        <v>-2.4986527371292393</v>
      </c>
      <c r="O102" s="18">
        <f t="shared" si="17"/>
        <v>-2.5114803905601994</v>
      </c>
    </row>
    <row r="103" spans="1:15" ht="13.5">
      <c r="A103" s="5" t="s">
        <v>3</v>
      </c>
      <c r="B103" s="21">
        <f>+B78/B$78*100</f>
        <v>100</v>
      </c>
      <c r="C103" s="21">
        <f>+C78/C$78*100</f>
        <v>100</v>
      </c>
      <c r="D103" s="21">
        <f>+D78/D$78*100</f>
        <v>100</v>
      </c>
      <c r="E103" s="17">
        <f aca="true" t="shared" si="25" ref="E103:J103">+E78/E$78*100</f>
        <v>100</v>
      </c>
      <c r="F103" s="17">
        <f t="shared" si="25"/>
        <v>100</v>
      </c>
      <c r="G103" s="17">
        <f t="shared" si="25"/>
        <v>100</v>
      </c>
      <c r="H103" s="17">
        <f t="shared" si="25"/>
        <v>100</v>
      </c>
      <c r="I103" s="17">
        <f t="shared" si="25"/>
        <v>100</v>
      </c>
      <c r="J103" s="27">
        <f t="shared" si="25"/>
        <v>100</v>
      </c>
      <c r="K103" s="21">
        <f t="shared" si="14"/>
        <v>100</v>
      </c>
      <c r="L103" s="18"/>
      <c r="M103" s="18"/>
      <c r="N103" s="18"/>
      <c r="O103" s="10"/>
    </row>
    <row r="105" spans="1:14" ht="13.5">
      <c r="A105" t="s">
        <v>29</v>
      </c>
      <c r="B105" s="35">
        <f>+SUM(B91:B96)+B99</f>
        <v>38.08444479879723</v>
      </c>
      <c r="C105" s="34">
        <f aca="true" t="shared" si="26" ref="C105:J105">+SUM(C91:C96)+C99</f>
        <v>38.46725162145033</v>
      </c>
      <c r="D105" s="34">
        <f>+SUM(D91:D96)+D99</f>
        <v>43.32331750185777</v>
      </c>
      <c r="E105" s="34">
        <f t="shared" si="26"/>
        <v>42.84928174235403</v>
      </c>
      <c r="F105" s="34">
        <f t="shared" si="26"/>
        <v>35.557597255658536</v>
      </c>
      <c r="G105" s="34">
        <f t="shared" si="26"/>
        <v>32.57508761586584</v>
      </c>
      <c r="H105" s="34">
        <f t="shared" si="26"/>
        <v>32.14173643449773</v>
      </c>
      <c r="I105" s="34">
        <f t="shared" si="26"/>
        <v>32.84410605324261</v>
      </c>
      <c r="J105" s="34">
        <f t="shared" si="26"/>
        <v>26.264288755690934</v>
      </c>
      <c r="K105" s="34">
        <f>+SUM(K91:K96)+K99</f>
        <v>24.54221039420562</v>
      </c>
      <c r="L105" s="38">
        <f>+H105-C105</f>
        <v>-6.3255151869526</v>
      </c>
      <c r="M105" s="38"/>
      <c r="N105" s="38">
        <f>+J105-H105</f>
        <v>-5.877447678806796</v>
      </c>
    </row>
    <row r="106" spans="1:14" ht="13.5">
      <c r="A106" t="s">
        <v>55</v>
      </c>
      <c r="B106" s="34">
        <f>+B105+B90</f>
        <v>48.84449354761553</v>
      </c>
      <c r="C106" s="34">
        <f aca="true" t="shared" si="27" ref="C106:K106">+C105+C90</f>
        <v>53.0022200391215</v>
      </c>
      <c r="D106" s="34">
        <f t="shared" si="27"/>
        <v>51.08760621627734</v>
      </c>
      <c r="E106" s="34">
        <f t="shared" si="27"/>
        <v>49.22302847754655</v>
      </c>
      <c r="F106" s="34">
        <f t="shared" si="27"/>
        <v>39.688565058573005</v>
      </c>
      <c r="G106" s="34">
        <f t="shared" si="27"/>
        <v>37.02384461694671</v>
      </c>
      <c r="H106" s="34">
        <f t="shared" si="27"/>
        <v>36.63909425246959</v>
      </c>
      <c r="I106" s="34">
        <f t="shared" si="27"/>
        <v>37.17155353960797</v>
      </c>
      <c r="J106" s="34">
        <f t="shared" si="27"/>
        <v>29.826242180079262</v>
      </c>
      <c r="K106" s="34">
        <f t="shared" si="27"/>
        <v>27.958810276261474</v>
      </c>
      <c r="L106" s="38">
        <f>+H106-C106</f>
        <v>-16.363125786651906</v>
      </c>
      <c r="M106" s="38"/>
      <c r="N106" s="38">
        <f>+J106-H106</f>
        <v>-6.812852072390328</v>
      </c>
    </row>
    <row r="107" ht="13.5">
      <c r="B107" s="34"/>
    </row>
    <row r="108" spans="1:13" ht="13.5">
      <c r="A108" s="13" t="s">
        <v>25</v>
      </c>
      <c r="B108" s="13"/>
      <c r="C108" s="13"/>
      <c r="D108" s="13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33.75">
      <c r="A109" s="10" t="s">
        <v>26</v>
      </c>
      <c r="B109" s="52" t="s">
        <v>30</v>
      </c>
      <c r="C109" s="53"/>
      <c r="D109" s="53"/>
      <c r="E109" s="54"/>
      <c r="F109" s="54"/>
      <c r="G109" s="54"/>
      <c r="H109" s="54"/>
      <c r="I109" s="55" t="s">
        <v>30</v>
      </c>
      <c r="J109" s="55" t="s">
        <v>22</v>
      </c>
      <c r="K109" s="55"/>
      <c r="L109" s="56"/>
      <c r="M109" s="2"/>
    </row>
    <row r="110" spans="1:13" ht="22.5">
      <c r="A110" s="10" t="s">
        <v>18</v>
      </c>
      <c r="B110" s="52" t="s">
        <v>31</v>
      </c>
      <c r="C110" s="53"/>
      <c r="D110" s="53"/>
      <c r="E110" s="54"/>
      <c r="F110" s="54"/>
      <c r="G110" s="54"/>
      <c r="H110" s="54"/>
      <c r="I110" s="55" t="s">
        <v>32</v>
      </c>
      <c r="J110" s="55" t="s">
        <v>23</v>
      </c>
      <c r="K110" s="55"/>
      <c r="L110" s="56"/>
      <c r="M110" s="2"/>
    </row>
    <row r="111" spans="1:13" ht="13.5">
      <c r="A111" s="10" t="s">
        <v>19</v>
      </c>
      <c r="B111" s="52" t="s">
        <v>21</v>
      </c>
      <c r="C111" s="53"/>
      <c r="D111" s="53"/>
      <c r="E111" s="54"/>
      <c r="F111" s="54"/>
      <c r="G111" s="54"/>
      <c r="H111" s="54"/>
      <c r="I111" s="55" t="s">
        <v>21</v>
      </c>
      <c r="J111" s="55" t="s">
        <v>21</v>
      </c>
      <c r="K111" s="55"/>
      <c r="L111" s="56"/>
      <c r="M111" s="2"/>
    </row>
    <row r="112" spans="1:13" ht="22.5">
      <c r="A112" s="10" t="s">
        <v>20</v>
      </c>
      <c r="B112" s="52" t="s">
        <v>33</v>
      </c>
      <c r="C112" s="53"/>
      <c r="D112" s="53"/>
      <c r="E112" s="54"/>
      <c r="F112" s="54"/>
      <c r="G112" s="54"/>
      <c r="H112" s="54"/>
      <c r="I112" s="55" t="s">
        <v>34</v>
      </c>
      <c r="J112" s="55" t="s">
        <v>24</v>
      </c>
      <c r="K112" s="55"/>
      <c r="L112" s="56"/>
      <c r="M112" s="2"/>
    </row>
    <row r="113" spans="1:13" ht="13.5">
      <c r="A113" s="12"/>
      <c r="B113" s="12"/>
      <c r="C113" s="12"/>
      <c r="D113" s="1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3.5">
      <c r="A114" s="12"/>
      <c r="B114" s="12"/>
      <c r="C114" s="12"/>
      <c r="D114" s="1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3.5">
      <c r="A115" s="12"/>
      <c r="B115" s="12"/>
      <c r="C115" s="12"/>
      <c r="D115" s="1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3.5">
      <c r="A116" s="12"/>
      <c r="B116" s="12"/>
      <c r="C116" s="12"/>
      <c r="D116" s="1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3.5">
      <c r="A117" s="12"/>
      <c r="B117" s="12"/>
      <c r="C117" s="12"/>
      <c r="D117" s="1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3.5">
      <c r="A118" s="12"/>
      <c r="B118" s="12"/>
      <c r="C118" s="12"/>
      <c r="D118" s="1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3.5">
      <c r="A119" s="12"/>
      <c r="B119" s="12"/>
      <c r="C119" s="12"/>
      <c r="D119" s="1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3.5">
      <c r="A120" s="12"/>
      <c r="B120" s="12"/>
      <c r="C120" s="12"/>
      <c r="D120" s="12"/>
      <c r="E120" s="2"/>
      <c r="F120" s="2"/>
      <c r="G120" s="2"/>
      <c r="H120" s="2"/>
      <c r="I120" s="2"/>
      <c r="J120" s="2"/>
      <c r="K120" s="2"/>
      <c r="L120" s="2"/>
      <c r="M120" s="2"/>
    </row>
    <row r="121" ht="13.5">
      <c r="B121" s="34"/>
    </row>
    <row r="122" ht="13.5">
      <c r="B122" s="34"/>
    </row>
  </sheetData>
  <sheetProtection/>
  <mergeCells count="1">
    <mergeCell ref="D19:D23"/>
  </mergeCells>
  <printOptions/>
  <pageMargins left="0.75" right="0.2" top="0.16" bottom="0.23" header="0.27" footer="0.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jitiken</dc:creator>
  <cp:keywords/>
  <dc:description/>
  <cp:lastModifiedBy>miyazaki</cp:lastModifiedBy>
  <cp:lastPrinted>2013-11-30T13:15:32Z</cp:lastPrinted>
  <dcterms:created xsi:type="dcterms:W3CDTF">2013-10-07T04:26:30Z</dcterms:created>
  <dcterms:modified xsi:type="dcterms:W3CDTF">2014-12-01T02:36:18Z</dcterms:modified>
  <cp:category/>
  <cp:version/>
  <cp:contentType/>
  <cp:contentStatus/>
</cp:coreProperties>
</file>